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4.xml" ContentType="application/vnd.openxmlformats-officedocument.drawing+xml"/>
  <Override PartName="/xl/charts/chart10.xml" ContentType="application/vnd.openxmlformats-officedocument.drawingml.chart+xml"/>
  <Override PartName="/xl/drawings/drawing5.xml" ContentType="application/vnd.openxmlformats-officedocument.drawing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drawings/drawing6.xml" ContentType="application/vnd.openxmlformats-officedocument.drawing+xml"/>
  <Override PartName="/xl/charts/chart14.xml" ContentType="application/vnd.openxmlformats-officedocument.drawingml.chart+xml"/>
  <Override PartName="/xl/drawings/drawing7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drawings/drawing8.xml" ContentType="application/vnd.openxmlformats-officedocument.drawing+xml"/>
  <Override PartName="/xl/charts/chart1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20115" windowHeight="7755" firstSheet="7" activeTab="12"/>
  </bookViews>
  <sheets>
    <sheet name="Тема 3" sheetId="7" r:id="rId1"/>
    <sheet name="тема 1 " sheetId="4" r:id="rId2"/>
    <sheet name="Тема 2" sheetId="5" r:id="rId3"/>
    <sheet name="Литература" sheetId="6" r:id="rId4"/>
    <sheet name="Тема 4" sheetId="8" r:id="rId5"/>
    <sheet name="Тема 5" sheetId="9" r:id="rId6"/>
    <sheet name="Теоретические вопросы" sheetId="10" r:id="rId7"/>
    <sheet name="Тема 7" sheetId="11" r:id="rId8"/>
    <sheet name="Тема 6" sheetId="12" r:id="rId9"/>
    <sheet name="Тема 8" sheetId="13" r:id="rId10"/>
    <sheet name="Тема 9" sheetId="14" r:id="rId11"/>
    <sheet name="Тема 10" sheetId="15" r:id="rId12"/>
    <sheet name="прогноз объема реализ" sheetId="16" r:id="rId13"/>
    <sheet name="продукт стратегия" sheetId="17" r:id="rId14"/>
  </sheets>
  <definedNames>
    <definedName name="_Hlk281999883" localSheetId="1">'тема 1 '!$A$164</definedName>
    <definedName name="_xlnm.Print_Area" localSheetId="3">Литература!$A$1:$N$11</definedName>
    <definedName name="_xlnm.Print_Area" localSheetId="1">'тема 1 '!$A$1:$K$230</definedName>
    <definedName name="_xlnm.Print_Area" localSheetId="7">'Тема 7'!$A$1:$S$337</definedName>
  </definedNames>
  <calcPr calcId="145621"/>
</workbook>
</file>

<file path=xl/calcChain.xml><?xml version="1.0" encoding="utf-8"?>
<calcChain xmlns="http://schemas.openxmlformats.org/spreadsheetml/2006/main">
  <c r="H5" i="17" l="1"/>
  <c r="H6" i="17"/>
  <c r="H7" i="17"/>
  <c r="H8" i="17"/>
  <c r="H9" i="17"/>
  <c r="H10" i="17"/>
  <c r="H4" i="17"/>
  <c r="D5" i="17"/>
  <c r="D6" i="17"/>
  <c r="D7" i="17"/>
  <c r="D8" i="17"/>
  <c r="D9" i="17"/>
  <c r="D10" i="17"/>
  <c r="D4" i="17"/>
  <c r="B99" i="16"/>
  <c r="B97" i="16"/>
  <c r="B96" i="16"/>
  <c r="B95" i="16"/>
  <c r="B94" i="16"/>
  <c r="B93" i="16"/>
  <c r="C69" i="16" l="1"/>
  <c r="C57" i="16"/>
  <c r="Q55" i="16"/>
  <c r="Q49" i="16"/>
  <c r="Q50" i="16"/>
  <c r="Q51" i="16"/>
  <c r="Q52" i="16"/>
  <c r="Q53" i="16"/>
  <c r="Q54" i="16"/>
  <c r="Q48" i="16"/>
  <c r="P49" i="16"/>
  <c r="P50" i="16"/>
  <c r="P51" i="16"/>
  <c r="P52" i="16"/>
  <c r="P53" i="16"/>
  <c r="P54" i="16"/>
  <c r="P48" i="16"/>
  <c r="N55" i="16"/>
  <c r="N49" i="16"/>
  <c r="N50" i="16"/>
  <c r="N51" i="16"/>
  <c r="N52" i="16"/>
  <c r="N53" i="16"/>
  <c r="N54" i="16"/>
  <c r="N48" i="16"/>
  <c r="M49" i="16"/>
  <c r="M50" i="16"/>
  <c r="M51" i="16"/>
  <c r="M52" i="16"/>
  <c r="M53" i="16"/>
  <c r="M54" i="16"/>
  <c r="M48" i="16"/>
  <c r="K55" i="16"/>
  <c r="K49" i="16"/>
  <c r="K50" i="16"/>
  <c r="K51" i="16"/>
  <c r="K52" i="16"/>
  <c r="K53" i="16"/>
  <c r="K54" i="16"/>
  <c r="K48" i="16"/>
  <c r="J49" i="16"/>
  <c r="J50" i="16"/>
  <c r="J51" i="16"/>
  <c r="J52" i="16"/>
  <c r="J53" i="16"/>
  <c r="J54" i="16"/>
  <c r="J48" i="16"/>
  <c r="H55" i="16"/>
  <c r="H49" i="16"/>
  <c r="H50" i="16"/>
  <c r="H51" i="16"/>
  <c r="H52" i="16"/>
  <c r="H53" i="16"/>
  <c r="H54" i="16"/>
  <c r="H48" i="16"/>
  <c r="G49" i="16"/>
  <c r="G50" i="16"/>
  <c r="G51" i="16"/>
  <c r="G52" i="16"/>
  <c r="G53" i="16"/>
  <c r="G54" i="16"/>
  <c r="G48" i="16"/>
  <c r="E55" i="16"/>
  <c r="E49" i="16"/>
  <c r="E50" i="16"/>
  <c r="E51" i="16"/>
  <c r="E52" i="16"/>
  <c r="E53" i="16"/>
  <c r="E54" i="16"/>
  <c r="E48" i="16"/>
  <c r="D49" i="16"/>
  <c r="D50" i="16"/>
  <c r="D51" i="16"/>
  <c r="D52" i="16"/>
  <c r="D53" i="16"/>
  <c r="D54" i="16"/>
  <c r="D48" i="16"/>
  <c r="O51" i="16"/>
  <c r="O52" i="16" s="1"/>
  <c r="O53" i="16" s="1"/>
  <c r="O54" i="16" s="1"/>
  <c r="O50" i="16"/>
  <c r="O49" i="16"/>
  <c r="O48" i="16"/>
  <c r="L51" i="16"/>
  <c r="L50" i="16"/>
  <c r="L52" i="16"/>
  <c r="L53" i="16" s="1"/>
  <c r="L54" i="16" s="1"/>
  <c r="L49" i="16"/>
  <c r="L48" i="16"/>
  <c r="I51" i="16"/>
  <c r="I52" i="16" s="1"/>
  <c r="I53" i="16" s="1"/>
  <c r="I54" i="16" s="1"/>
  <c r="I50" i="16"/>
  <c r="I49" i="16"/>
  <c r="I48" i="16"/>
  <c r="F54" i="16"/>
  <c r="F51" i="16"/>
  <c r="F52" i="16"/>
  <c r="F53" i="16" s="1"/>
  <c r="F50" i="16"/>
  <c r="F49" i="16"/>
  <c r="F48" i="16"/>
  <c r="C51" i="16"/>
  <c r="C52" i="16" s="1"/>
  <c r="C53" i="16" s="1"/>
  <c r="C54" i="16" s="1"/>
  <c r="C50" i="16"/>
  <c r="C49" i="16"/>
  <c r="C48" i="16"/>
  <c r="D132" i="13"/>
  <c r="Q42" i="16"/>
  <c r="Q41" i="16"/>
  <c r="P41" i="16"/>
  <c r="O41" i="16"/>
  <c r="N42" i="16"/>
  <c r="N41" i="16"/>
  <c r="N40" i="16"/>
  <c r="L41" i="16"/>
  <c r="M41" i="16"/>
  <c r="M40" i="16"/>
  <c r="L40" i="16"/>
  <c r="K42" i="16"/>
  <c r="K40" i="16"/>
  <c r="K41" i="16"/>
  <c r="K39" i="16"/>
  <c r="J40" i="16"/>
  <c r="J41" i="16"/>
  <c r="J39" i="16"/>
  <c r="I40" i="16"/>
  <c r="I41" i="16"/>
  <c r="I39" i="16"/>
  <c r="H42" i="16"/>
  <c r="H39" i="16"/>
  <c r="H40" i="16"/>
  <c r="H41" i="16"/>
  <c r="H38" i="16"/>
  <c r="G39" i="16"/>
  <c r="G40" i="16"/>
  <c r="G41" i="16"/>
  <c r="G38" i="16"/>
  <c r="F41" i="16"/>
  <c r="F39" i="16"/>
  <c r="F40" i="16"/>
  <c r="F38" i="16"/>
  <c r="E42" i="16"/>
  <c r="D37" i="16"/>
  <c r="C41" i="16"/>
  <c r="C37" i="16"/>
  <c r="C38" i="16"/>
  <c r="D38" i="16" s="1"/>
  <c r="E38" i="16" s="1"/>
  <c r="C39" i="16"/>
  <c r="C40" i="16"/>
  <c r="E41" i="16"/>
  <c r="E37" i="16"/>
  <c r="D39" i="16"/>
  <c r="E39" i="16" s="1"/>
  <c r="D40" i="16"/>
  <c r="E40" i="16" s="1"/>
  <c r="D41" i="16"/>
  <c r="C28" i="16"/>
  <c r="Q26" i="16"/>
  <c r="Q25" i="16"/>
  <c r="P25" i="16"/>
  <c r="O25" i="16"/>
  <c r="N26" i="16"/>
  <c r="N25" i="16"/>
  <c r="N24" i="16"/>
  <c r="M25" i="16"/>
  <c r="M24" i="16"/>
  <c r="L25" i="16"/>
  <c r="L24" i="16"/>
  <c r="K26" i="16"/>
  <c r="H26" i="16"/>
  <c r="K24" i="16"/>
  <c r="K25" i="16"/>
  <c r="K23" i="16"/>
  <c r="I25" i="16"/>
  <c r="J24" i="16"/>
  <c r="J25" i="16"/>
  <c r="J23" i="16"/>
  <c r="I24" i="16"/>
  <c r="I23" i="16"/>
  <c r="F24" i="16"/>
  <c r="G24" i="16"/>
  <c r="H23" i="16"/>
  <c r="H24" i="16"/>
  <c r="H25" i="16"/>
  <c r="H22" i="16"/>
  <c r="G23" i="16"/>
  <c r="G25" i="16"/>
  <c r="G22" i="16"/>
  <c r="F23" i="16"/>
  <c r="F25" i="16"/>
  <c r="F22" i="16"/>
  <c r="E26" i="16"/>
  <c r="E22" i="16"/>
  <c r="E23" i="16"/>
  <c r="E24" i="16"/>
  <c r="E25" i="16"/>
  <c r="E21" i="16"/>
  <c r="D22" i="16"/>
  <c r="D23" i="16"/>
  <c r="D24" i="16"/>
  <c r="D25" i="16"/>
  <c r="D21" i="16"/>
  <c r="C22" i="16"/>
  <c r="C23" i="16"/>
  <c r="C24" i="16"/>
  <c r="C25" i="16"/>
  <c r="C21" i="16"/>
  <c r="C12" i="16"/>
  <c r="C11" i="16"/>
  <c r="C6" i="16"/>
  <c r="C7" i="16"/>
  <c r="C8" i="16"/>
  <c r="C9" i="16"/>
  <c r="C10" i="16"/>
  <c r="C5" i="16"/>
  <c r="C272" i="14" l="1"/>
  <c r="C274" i="14" s="1"/>
  <c r="C273" i="14"/>
  <c r="H4" i="14"/>
  <c r="J267" i="14"/>
  <c r="J238" i="14"/>
  <c r="J239" i="14"/>
  <c r="J240" i="14"/>
  <c r="J241" i="14"/>
  <c r="J242" i="14"/>
  <c r="J243" i="14"/>
  <c r="J244" i="14"/>
  <c r="J245" i="14"/>
  <c r="J246" i="14"/>
  <c r="J247" i="14"/>
  <c r="J248" i="14"/>
  <c r="J249" i="14"/>
  <c r="J250" i="14"/>
  <c r="J251" i="14"/>
  <c r="J252" i="14"/>
  <c r="J253" i="14"/>
  <c r="J254" i="14"/>
  <c r="J255" i="14"/>
  <c r="J256" i="14"/>
  <c r="J257" i="14"/>
  <c r="J258" i="14"/>
  <c r="J259" i="14"/>
  <c r="J260" i="14"/>
  <c r="J261" i="14"/>
  <c r="J262" i="14"/>
  <c r="J263" i="14"/>
  <c r="J264" i="14"/>
  <c r="J265" i="14"/>
  <c r="J266" i="14"/>
  <c r="J237" i="14"/>
  <c r="I238" i="14"/>
  <c r="I239" i="14"/>
  <c r="I240" i="14"/>
  <c r="I241" i="14"/>
  <c r="I242" i="14"/>
  <c r="I243" i="14"/>
  <c r="I244" i="14"/>
  <c r="I245" i="14"/>
  <c r="I246" i="14"/>
  <c r="I247" i="14"/>
  <c r="I248" i="14"/>
  <c r="I249" i="14"/>
  <c r="I250" i="14"/>
  <c r="I251" i="14"/>
  <c r="I252" i="14"/>
  <c r="I253" i="14"/>
  <c r="I254" i="14"/>
  <c r="I255" i="14"/>
  <c r="I256" i="14"/>
  <c r="I257" i="14"/>
  <c r="I258" i="14"/>
  <c r="I259" i="14"/>
  <c r="I260" i="14"/>
  <c r="I261" i="14"/>
  <c r="I262" i="14"/>
  <c r="I263" i="14"/>
  <c r="I264" i="14"/>
  <c r="I265" i="14"/>
  <c r="I266" i="14"/>
  <c r="I237" i="14"/>
  <c r="H238" i="14"/>
  <c r="H239" i="14"/>
  <c r="H240" i="14"/>
  <c r="H241" i="14"/>
  <c r="H242" i="14"/>
  <c r="H243" i="14"/>
  <c r="H244" i="14"/>
  <c r="H245" i="14"/>
  <c r="H246" i="14"/>
  <c r="H247" i="14"/>
  <c r="H248" i="14"/>
  <c r="H249" i="14"/>
  <c r="H250" i="14"/>
  <c r="H251" i="14"/>
  <c r="H252" i="14"/>
  <c r="H253" i="14"/>
  <c r="H254" i="14"/>
  <c r="H255" i="14"/>
  <c r="H256" i="14"/>
  <c r="H257" i="14"/>
  <c r="H258" i="14"/>
  <c r="H259" i="14"/>
  <c r="H260" i="14"/>
  <c r="H261" i="14"/>
  <c r="H262" i="14"/>
  <c r="H263" i="14"/>
  <c r="H264" i="14"/>
  <c r="H265" i="14"/>
  <c r="H266" i="14"/>
  <c r="H237" i="14"/>
  <c r="G262" i="14"/>
  <c r="G263" i="14"/>
  <c r="G264" i="14"/>
  <c r="G265" i="14"/>
  <c r="G266" i="14"/>
  <c r="G261" i="14"/>
  <c r="G250" i="14"/>
  <c r="G251" i="14"/>
  <c r="G252" i="14"/>
  <c r="G253" i="14"/>
  <c r="G254" i="14"/>
  <c r="G255" i="14"/>
  <c r="G256" i="14"/>
  <c r="G257" i="14"/>
  <c r="G258" i="14"/>
  <c r="G259" i="14"/>
  <c r="G260" i="14"/>
  <c r="G249" i="14"/>
  <c r="G238" i="14"/>
  <c r="G239" i="14"/>
  <c r="G240" i="14"/>
  <c r="G241" i="14"/>
  <c r="G242" i="14"/>
  <c r="G243" i="14"/>
  <c r="G244" i="14"/>
  <c r="G245" i="14"/>
  <c r="G246" i="14"/>
  <c r="G247" i="14"/>
  <c r="G248" i="14"/>
  <c r="G237" i="14"/>
  <c r="J232" i="14"/>
  <c r="J203" i="14"/>
  <c r="J204" i="14"/>
  <c r="J205" i="14"/>
  <c r="J206" i="14"/>
  <c r="J207" i="14"/>
  <c r="J208" i="14"/>
  <c r="J209" i="14"/>
  <c r="J210" i="14"/>
  <c r="J211" i="14"/>
  <c r="J212" i="14"/>
  <c r="J213" i="14"/>
  <c r="J214" i="14"/>
  <c r="J215" i="14"/>
  <c r="J216" i="14"/>
  <c r="J217" i="14"/>
  <c r="J218" i="14"/>
  <c r="J219" i="14"/>
  <c r="J220" i="14"/>
  <c r="J221" i="14"/>
  <c r="J222" i="14"/>
  <c r="J223" i="14"/>
  <c r="J224" i="14"/>
  <c r="J225" i="14"/>
  <c r="J226" i="14"/>
  <c r="J227" i="14"/>
  <c r="J228" i="14"/>
  <c r="J229" i="14"/>
  <c r="J230" i="14"/>
  <c r="J231" i="14"/>
  <c r="J202" i="14"/>
  <c r="I203" i="14"/>
  <c r="I204" i="14"/>
  <c r="I205" i="14"/>
  <c r="I206" i="14"/>
  <c r="I207" i="14"/>
  <c r="I208" i="14"/>
  <c r="I209" i="14"/>
  <c r="I210" i="14"/>
  <c r="I211" i="14"/>
  <c r="I212" i="14"/>
  <c r="I213" i="14"/>
  <c r="I214" i="14"/>
  <c r="I215" i="14"/>
  <c r="I216" i="14"/>
  <c r="I217" i="14"/>
  <c r="I218" i="14"/>
  <c r="I219" i="14"/>
  <c r="I220" i="14"/>
  <c r="I221" i="14"/>
  <c r="I222" i="14"/>
  <c r="I223" i="14"/>
  <c r="I224" i="14"/>
  <c r="I225" i="14"/>
  <c r="I226" i="14"/>
  <c r="I227" i="14"/>
  <c r="I228" i="14"/>
  <c r="I229" i="14"/>
  <c r="I230" i="14"/>
  <c r="I231" i="14"/>
  <c r="I202" i="14"/>
  <c r="H203" i="14"/>
  <c r="H204" i="14"/>
  <c r="H205" i="14"/>
  <c r="H206" i="14"/>
  <c r="H207" i="14"/>
  <c r="H208" i="14"/>
  <c r="H209" i="14"/>
  <c r="H210" i="14"/>
  <c r="H211" i="14"/>
  <c r="H212" i="14"/>
  <c r="H213" i="14"/>
  <c r="H214" i="14"/>
  <c r="H215" i="14"/>
  <c r="H216" i="14"/>
  <c r="H217" i="14"/>
  <c r="H218" i="14"/>
  <c r="H219" i="14"/>
  <c r="H220" i="14"/>
  <c r="H221" i="14"/>
  <c r="H222" i="14"/>
  <c r="H223" i="14"/>
  <c r="H224" i="14"/>
  <c r="H225" i="14"/>
  <c r="H226" i="14"/>
  <c r="H227" i="14"/>
  <c r="H228" i="14"/>
  <c r="H229" i="14"/>
  <c r="H230" i="14"/>
  <c r="H231" i="14"/>
  <c r="H202" i="14"/>
  <c r="G227" i="14"/>
  <c r="G228" i="14"/>
  <c r="G229" i="14"/>
  <c r="G230" i="14"/>
  <c r="G231" i="14"/>
  <c r="G226" i="14"/>
  <c r="G215" i="14"/>
  <c r="G214" i="14"/>
  <c r="G213" i="14"/>
  <c r="G216" i="14"/>
  <c r="G217" i="14"/>
  <c r="G218" i="14"/>
  <c r="G219" i="14"/>
  <c r="G220" i="14"/>
  <c r="G221" i="14"/>
  <c r="G222" i="14"/>
  <c r="G223" i="14"/>
  <c r="G224" i="14"/>
  <c r="G225" i="14"/>
  <c r="G203" i="14"/>
  <c r="G204" i="14"/>
  <c r="G205" i="14"/>
  <c r="G206" i="14"/>
  <c r="G207" i="14"/>
  <c r="G208" i="14"/>
  <c r="G209" i="14"/>
  <c r="G210" i="14"/>
  <c r="G211" i="14"/>
  <c r="G212" i="14"/>
  <c r="G202" i="14"/>
  <c r="E194" i="14"/>
  <c r="E183" i="14"/>
  <c r="E184" i="14"/>
  <c r="E185" i="14"/>
  <c r="E186" i="14"/>
  <c r="E187" i="14"/>
  <c r="E188" i="14"/>
  <c r="E189" i="14"/>
  <c r="E190" i="14"/>
  <c r="E191" i="14"/>
  <c r="E192" i="14"/>
  <c r="E193" i="14"/>
  <c r="E182" i="14"/>
  <c r="E179" i="14"/>
  <c r="G154" i="14"/>
  <c r="G149" i="14"/>
  <c r="G150" i="14"/>
  <c r="G151" i="14"/>
  <c r="G152" i="14"/>
  <c r="G153" i="14"/>
  <c r="G148" i="14"/>
  <c r="G143" i="14"/>
  <c r="G144" i="14"/>
  <c r="G145" i="14"/>
  <c r="G146" i="14"/>
  <c r="G147" i="14"/>
  <c r="G142" i="14"/>
  <c r="F143" i="14"/>
  <c r="F144" i="14"/>
  <c r="F145" i="14"/>
  <c r="F146" i="14"/>
  <c r="F147" i="14"/>
  <c r="F148" i="14"/>
  <c r="F149" i="14"/>
  <c r="F150" i="14"/>
  <c r="F151" i="14"/>
  <c r="F152" i="14"/>
  <c r="F153" i="14"/>
  <c r="F154" i="14"/>
  <c r="F155" i="14"/>
  <c r="F156" i="14"/>
  <c r="F157" i="14"/>
  <c r="F158" i="14"/>
  <c r="F159" i="14"/>
  <c r="F160" i="14"/>
  <c r="F161" i="14"/>
  <c r="F162" i="14"/>
  <c r="F163" i="14"/>
  <c r="F164" i="14"/>
  <c r="F165" i="14"/>
  <c r="F166" i="14"/>
  <c r="F167" i="14"/>
  <c r="F168" i="14"/>
  <c r="F169" i="14"/>
  <c r="F170" i="14"/>
  <c r="F171" i="14"/>
  <c r="F142" i="14"/>
  <c r="E137" i="14"/>
  <c r="E126" i="14"/>
  <c r="E127" i="14"/>
  <c r="E128" i="14"/>
  <c r="E129" i="14"/>
  <c r="E130" i="14"/>
  <c r="E131" i="14"/>
  <c r="E132" i="14"/>
  <c r="E133" i="14"/>
  <c r="E134" i="14"/>
  <c r="E135" i="14"/>
  <c r="E136" i="14"/>
  <c r="E125" i="14"/>
  <c r="E122" i="14"/>
  <c r="G97" i="14"/>
  <c r="G96" i="14"/>
  <c r="G92" i="14"/>
  <c r="G93" i="14"/>
  <c r="G94" i="14"/>
  <c r="G95" i="14"/>
  <c r="G91" i="14"/>
  <c r="G90" i="14"/>
  <c r="G86" i="14"/>
  <c r="G87" i="14"/>
  <c r="G88" i="14"/>
  <c r="G89" i="14"/>
  <c r="G85" i="14"/>
  <c r="F86" i="14"/>
  <c r="F87" i="14"/>
  <c r="F88" i="14"/>
  <c r="F89" i="14"/>
  <c r="F90" i="14"/>
  <c r="F91" i="14"/>
  <c r="F92" i="14"/>
  <c r="F93" i="14"/>
  <c r="F94" i="14"/>
  <c r="F95" i="14"/>
  <c r="F96" i="14"/>
  <c r="F97" i="14"/>
  <c r="F98" i="14"/>
  <c r="F99" i="14"/>
  <c r="F100" i="14"/>
  <c r="F101" i="14"/>
  <c r="F102" i="14"/>
  <c r="F103" i="14"/>
  <c r="F104" i="14"/>
  <c r="F105" i="14"/>
  <c r="F106" i="14"/>
  <c r="F107" i="14"/>
  <c r="F108" i="14"/>
  <c r="F109" i="14"/>
  <c r="F110" i="14"/>
  <c r="F111" i="14"/>
  <c r="F112" i="14"/>
  <c r="F113" i="14"/>
  <c r="F114" i="14"/>
  <c r="F85" i="14"/>
  <c r="H5" i="14"/>
  <c r="H6" i="14"/>
  <c r="H7" i="14"/>
  <c r="H8" i="14"/>
  <c r="H9" i="14"/>
  <c r="H10" i="14"/>
  <c r="H11" i="14"/>
  <c r="H12" i="14"/>
  <c r="H13" i="14"/>
  <c r="H14" i="14"/>
  <c r="H15" i="14"/>
  <c r="H16" i="14"/>
  <c r="H17" i="14"/>
  <c r="H18" i="14"/>
  <c r="H19" i="14"/>
  <c r="H20" i="14"/>
  <c r="H21" i="14"/>
  <c r="H22" i="14"/>
  <c r="H23" i="14"/>
  <c r="H24" i="14"/>
  <c r="H25" i="14"/>
  <c r="H26" i="14"/>
  <c r="H27" i="14"/>
  <c r="H28" i="14"/>
  <c r="H29" i="14"/>
  <c r="H30" i="14"/>
  <c r="H31" i="14"/>
  <c r="H32" i="14"/>
  <c r="H33" i="14"/>
  <c r="I199" i="13" l="1"/>
  <c r="J198" i="13"/>
  <c r="I198" i="13"/>
  <c r="J199" i="13" s="1"/>
  <c r="I200" i="13" s="1"/>
  <c r="E198" i="13"/>
  <c r="D199" i="13" s="1"/>
  <c r="D198" i="13"/>
  <c r="E199" i="13" s="1"/>
  <c r="D200" i="13" s="1"/>
  <c r="N177" i="13"/>
  <c r="O177" i="13" s="1"/>
  <c r="M170" i="13"/>
  <c r="N170" i="13" s="1"/>
  <c r="O170" i="13" s="1"/>
  <c r="M171" i="13"/>
  <c r="N171" i="13" s="1"/>
  <c r="O171" i="13" s="1"/>
  <c r="M172" i="13"/>
  <c r="N172" i="13" s="1"/>
  <c r="O172" i="13" s="1"/>
  <c r="M173" i="13"/>
  <c r="N173" i="13" s="1"/>
  <c r="O173" i="13" s="1"/>
  <c r="M174" i="13"/>
  <c r="N174" i="13" s="1"/>
  <c r="O174" i="13" s="1"/>
  <c r="M175" i="13"/>
  <c r="N175" i="13" s="1"/>
  <c r="O175" i="13" s="1"/>
  <c r="M176" i="13"/>
  <c r="N176" i="13" s="1"/>
  <c r="O176" i="13" s="1"/>
  <c r="M177" i="13"/>
  <c r="M178" i="13"/>
  <c r="N178" i="13" s="1"/>
  <c r="O178" i="13" s="1"/>
  <c r="M179" i="13"/>
  <c r="N179" i="13" s="1"/>
  <c r="O179" i="13" s="1"/>
  <c r="M180" i="13"/>
  <c r="N180" i="13" s="1"/>
  <c r="O180" i="13" s="1"/>
  <c r="M181" i="13"/>
  <c r="N181" i="13" s="1"/>
  <c r="O181" i="13" s="1"/>
  <c r="M182" i="13"/>
  <c r="N182" i="13" s="1"/>
  <c r="O182" i="13" s="1"/>
  <c r="M183" i="13"/>
  <c r="N183" i="13" s="1"/>
  <c r="O183" i="13" s="1"/>
  <c r="M184" i="13"/>
  <c r="N184" i="13" s="1"/>
  <c r="O184" i="13" s="1"/>
  <c r="M185" i="13"/>
  <c r="N185" i="13" s="1"/>
  <c r="O185" i="13" s="1"/>
  <c r="M186" i="13"/>
  <c r="N186" i="13" s="1"/>
  <c r="O186" i="13" s="1"/>
  <c r="M187" i="13"/>
  <c r="N187" i="13" s="1"/>
  <c r="O187" i="13" s="1"/>
  <c r="M188" i="13"/>
  <c r="M169" i="13"/>
  <c r="N169" i="13" s="1"/>
  <c r="O169" i="13" s="1"/>
  <c r="K171" i="13"/>
  <c r="L171" i="13" s="1"/>
  <c r="J188" i="13"/>
  <c r="J172" i="13"/>
  <c r="K172" i="13" s="1"/>
  <c r="L172" i="13" s="1"/>
  <c r="J173" i="13"/>
  <c r="K173" i="13" s="1"/>
  <c r="L173" i="13" s="1"/>
  <c r="J174" i="13"/>
  <c r="K174" i="13" s="1"/>
  <c r="L174" i="13" s="1"/>
  <c r="J175" i="13"/>
  <c r="K175" i="13" s="1"/>
  <c r="L175" i="13" s="1"/>
  <c r="J176" i="13"/>
  <c r="K176" i="13" s="1"/>
  <c r="L176" i="13" s="1"/>
  <c r="J177" i="13"/>
  <c r="K177" i="13" s="1"/>
  <c r="L177" i="13" s="1"/>
  <c r="J178" i="13"/>
  <c r="K178" i="13" s="1"/>
  <c r="L178" i="13" s="1"/>
  <c r="J179" i="13"/>
  <c r="K179" i="13" s="1"/>
  <c r="L179" i="13" s="1"/>
  <c r="J180" i="13"/>
  <c r="K180" i="13" s="1"/>
  <c r="L180" i="13" s="1"/>
  <c r="J181" i="13"/>
  <c r="K181" i="13" s="1"/>
  <c r="L181" i="13" s="1"/>
  <c r="J182" i="13"/>
  <c r="K182" i="13" s="1"/>
  <c r="L182" i="13" s="1"/>
  <c r="J183" i="13"/>
  <c r="K183" i="13" s="1"/>
  <c r="L183" i="13" s="1"/>
  <c r="J184" i="13"/>
  <c r="K184" i="13" s="1"/>
  <c r="L184" i="13" s="1"/>
  <c r="J185" i="13"/>
  <c r="K185" i="13" s="1"/>
  <c r="L185" i="13" s="1"/>
  <c r="J186" i="13"/>
  <c r="K186" i="13" s="1"/>
  <c r="L186" i="13" s="1"/>
  <c r="J187" i="13"/>
  <c r="K187" i="13" s="1"/>
  <c r="L187" i="13" s="1"/>
  <c r="J169" i="13"/>
  <c r="K169" i="13" s="1"/>
  <c r="L169" i="13" s="1"/>
  <c r="J170" i="13"/>
  <c r="K170" i="13" s="1"/>
  <c r="L170" i="13" s="1"/>
  <c r="J171" i="13"/>
  <c r="J168" i="13"/>
  <c r="K168" i="13" s="1"/>
  <c r="L168" i="13" s="1"/>
  <c r="G168" i="13"/>
  <c r="H168" i="13" s="1"/>
  <c r="I168" i="13" s="1"/>
  <c r="G169" i="13"/>
  <c r="H169" i="13" s="1"/>
  <c r="I169" i="13" s="1"/>
  <c r="G170" i="13"/>
  <c r="H170" i="13" s="1"/>
  <c r="I170" i="13" s="1"/>
  <c r="G171" i="13"/>
  <c r="H171" i="13" s="1"/>
  <c r="I171" i="13" s="1"/>
  <c r="G172" i="13"/>
  <c r="H172" i="13" s="1"/>
  <c r="I172" i="13" s="1"/>
  <c r="G173" i="13"/>
  <c r="H173" i="13" s="1"/>
  <c r="I173" i="13" s="1"/>
  <c r="G174" i="13"/>
  <c r="H174" i="13" s="1"/>
  <c r="I174" i="13" s="1"/>
  <c r="G175" i="13"/>
  <c r="H175" i="13" s="1"/>
  <c r="I175" i="13" s="1"/>
  <c r="G176" i="13"/>
  <c r="H176" i="13" s="1"/>
  <c r="I176" i="13" s="1"/>
  <c r="G177" i="13"/>
  <c r="H177" i="13" s="1"/>
  <c r="I177" i="13" s="1"/>
  <c r="G178" i="13"/>
  <c r="H178" i="13" s="1"/>
  <c r="I178" i="13" s="1"/>
  <c r="G179" i="13"/>
  <c r="H179" i="13" s="1"/>
  <c r="I179" i="13" s="1"/>
  <c r="G180" i="13"/>
  <c r="H180" i="13" s="1"/>
  <c r="I180" i="13" s="1"/>
  <c r="G181" i="13"/>
  <c r="H181" i="13" s="1"/>
  <c r="I181" i="13" s="1"/>
  <c r="G182" i="13"/>
  <c r="H182" i="13" s="1"/>
  <c r="I182" i="13" s="1"/>
  <c r="G183" i="13"/>
  <c r="H183" i="13" s="1"/>
  <c r="I183" i="13" s="1"/>
  <c r="G184" i="13"/>
  <c r="H184" i="13" s="1"/>
  <c r="I184" i="13" s="1"/>
  <c r="G185" i="13"/>
  <c r="H185" i="13" s="1"/>
  <c r="I185" i="13" s="1"/>
  <c r="G186" i="13"/>
  <c r="H186" i="13" s="1"/>
  <c r="I186" i="13" s="1"/>
  <c r="G187" i="13"/>
  <c r="H187" i="13" s="1"/>
  <c r="I187" i="13" s="1"/>
  <c r="G188" i="13"/>
  <c r="G167" i="13"/>
  <c r="H167" i="13" s="1"/>
  <c r="I167" i="13" s="1"/>
  <c r="D167" i="13"/>
  <c r="E167" i="13" s="1"/>
  <c r="F167" i="13" s="1"/>
  <c r="D168" i="13"/>
  <c r="E168" i="13" s="1"/>
  <c r="F168" i="13" s="1"/>
  <c r="D169" i="13"/>
  <c r="E169" i="13" s="1"/>
  <c r="F169" i="13" s="1"/>
  <c r="D170" i="13"/>
  <c r="E170" i="13" s="1"/>
  <c r="F170" i="13" s="1"/>
  <c r="D171" i="13"/>
  <c r="E171" i="13" s="1"/>
  <c r="F171" i="13" s="1"/>
  <c r="D172" i="13"/>
  <c r="E172" i="13" s="1"/>
  <c r="F172" i="13" s="1"/>
  <c r="D173" i="13"/>
  <c r="E173" i="13" s="1"/>
  <c r="F173" i="13" s="1"/>
  <c r="D174" i="13"/>
  <c r="E174" i="13" s="1"/>
  <c r="F174" i="13" s="1"/>
  <c r="D175" i="13"/>
  <c r="E175" i="13" s="1"/>
  <c r="F175" i="13" s="1"/>
  <c r="D176" i="13"/>
  <c r="E176" i="13" s="1"/>
  <c r="F176" i="13" s="1"/>
  <c r="D177" i="13"/>
  <c r="E177" i="13" s="1"/>
  <c r="F177" i="13" s="1"/>
  <c r="D178" i="13"/>
  <c r="E178" i="13" s="1"/>
  <c r="F178" i="13" s="1"/>
  <c r="D179" i="13"/>
  <c r="E179" i="13" s="1"/>
  <c r="F179" i="13" s="1"/>
  <c r="D180" i="13"/>
  <c r="E180" i="13" s="1"/>
  <c r="F180" i="13" s="1"/>
  <c r="D181" i="13"/>
  <c r="E181" i="13" s="1"/>
  <c r="F181" i="13" s="1"/>
  <c r="D182" i="13"/>
  <c r="E182" i="13" s="1"/>
  <c r="F182" i="13" s="1"/>
  <c r="D183" i="13"/>
  <c r="E183" i="13" s="1"/>
  <c r="F183" i="13" s="1"/>
  <c r="D184" i="13"/>
  <c r="E184" i="13" s="1"/>
  <c r="F184" i="13" s="1"/>
  <c r="D185" i="13"/>
  <c r="E185" i="13" s="1"/>
  <c r="F185" i="13" s="1"/>
  <c r="D186" i="13"/>
  <c r="E186" i="13" s="1"/>
  <c r="F186" i="13" s="1"/>
  <c r="D187" i="13"/>
  <c r="E187" i="13" s="1"/>
  <c r="F187" i="13" s="1"/>
  <c r="D188" i="13"/>
  <c r="C232" i="13" s="1"/>
  <c r="D166" i="13"/>
  <c r="E166" i="13" s="1"/>
  <c r="F166" i="13" s="1"/>
  <c r="P131" i="13"/>
  <c r="P132" i="13" s="1"/>
  <c r="Q132" i="13" s="1"/>
  <c r="R132" i="13" s="1"/>
  <c r="P130" i="13"/>
  <c r="Q130" i="13" s="1"/>
  <c r="R130" i="13" s="1"/>
  <c r="M131" i="13"/>
  <c r="M132" i="13" s="1"/>
  <c r="M130" i="13"/>
  <c r="N130" i="13" s="1"/>
  <c r="O130" i="13" s="1"/>
  <c r="J131" i="13"/>
  <c r="J130" i="13"/>
  <c r="K130" i="13" s="1"/>
  <c r="L130" i="13" s="1"/>
  <c r="G131" i="13"/>
  <c r="H131" i="13" s="1"/>
  <c r="I131" i="13" s="1"/>
  <c r="G130" i="13"/>
  <c r="H130" i="13" s="1"/>
  <c r="I130" i="13" s="1"/>
  <c r="D131" i="13"/>
  <c r="E131" i="13" s="1"/>
  <c r="F131" i="13" s="1"/>
  <c r="D130" i="13"/>
  <c r="E130" i="13" s="1"/>
  <c r="F130" i="13" s="1"/>
  <c r="D99" i="13"/>
  <c r="D100" i="13"/>
  <c r="D101" i="13"/>
  <c r="D102" i="13"/>
  <c r="D103" i="13"/>
  <c r="D104" i="13"/>
  <c r="D105" i="13"/>
  <c r="D106" i="13"/>
  <c r="D107" i="13"/>
  <c r="D108" i="13"/>
  <c r="D109" i="13"/>
  <c r="D110" i="13"/>
  <c r="D111" i="13"/>
  <c r="D112" i="13"/>
  <c r="D113" i="13"/>
  <c r="D114" i="13"/>
  <c r="D115" i="13"/>
  <c r="D116" i="13"/>
  <c r="D117" i="13"/>
  <c r="D118" i="13"/>
  <c r="D119" i="13"/>
  <c r="D120" i="13"/>
  <c r="D98" i="13"/>
  <c r="K87" i="13"/>
  <c r="C229" i="13" s="1"/>
  <c r="D86" i="13"/>
  <c r="D43" i="13"/>
  <c r="D44" i="13"/>
  <c r="D45" i="13"/>
  <c r="D46" i="13"/>
  <c r="D47" i="13"/>
  <c r="D48" i="13"/>
  <c r="D49" i="13"/>
  <c r="D50" i="13"/>
  <c r="D51" i="13"/>
  <c r="D52" i="13"/>
  <c r="D53" i="13"/>
  <c r="D54" i="13"/>
  <c r="D55" i="13"/>
  <c r="D56" i="13"/>
  <c r="D57" i="13"/>
  <c r="D58" i="13"/>
  <c r="D59" i="13"/>
  <c r="D60" i="13"/>
  <c r="D61" i="13"/>
  <c r="D62" i="13"/>
  <c r="D63" i="13"/>
  <c r="D42" i="13"/>
  <c r="P133" i="13" l="1"/>
  <c r="P134" i="13" s="1"/>
  <c r="J200" i="13"/>
  <c r="I201" i="13" s="1"/>
  <c r="M133" i="13"/>
  <c r="M134" i="13" s="1"/>
  <c r="N132" i="13"/>
  <c r="O132" i="13" s="1"/>
  <c r="G132" i="13"/>
  <c r="N131" i="13"/>
  <c r="O131" i="13" s="1"/>
  <c r="L188" i="13"/>
  <c r="D121" i="13"/>
  <c r="I93" i="13" s="1"/>
  <c r="C231" i="13" s="1"/>
  <c r="K131" i="13"/>
  <c r="L131" i="13" s="1"/>
  <c r="J132" i="13"/>
  <c r="I188" i="13"/>
  <c r="J201" i="13"/>
  <c r="I202" i="13" s="1"/>
  <c r="N133" i="13"/>
  <c r="O133" i="13" s="1"/>
  <c r="F188" i="13"/>
  <c r="O188" i="13"/>
  <c r="Q131" i="13"/>
  <c r="R131" i="13" s="1"/>
  <c r="Q133" i="13"/>
  <c r="R133" i="13" s="1"/>
  <c r="E200" i="13"/>
  <c r="D201" i="13" s="1"/>
  <c r="I316" i="11"/>
  <c r="I317" i="11" s="1"/>
  <c r="I318" i="11" s="1"/>
  <c r="I319" i="11" s="1"/>
  <c r="I320" i="11" s="1"/>
  <c r="I321" i="11" s="1"/>
  <c r="I322" i="11" s="1"/>
  <c r="I323" i="11" s="1"/>
  <c r="I324" i="11" s="1"/>
  <c r="I325" i="11" s="1"/>
  <c r="I326" i="11" s="1"/>
  <c r="I327" i="11" s="1"/>
  <c r="I328" i="11" s="1"/>
  <c r="I329" i="11" s="1"/>
  <c r="I330" i="11" s="1"/>
  <c r="I331" i="11" s="1"/>
  <c r="I332" i="11" s="1"/>
  <c r="I333" i="11" s="1"/>
  <c r="I334" i="11" s="1"/>
  <c r="I335" i="11" s="1"/>
  <c r="I336" i="11" s="1"/>
  <c r="H316" i="11"/>
  <c r="H317" i="11" s="1"/>
  <c r="H318" i="11" s="1"/>
  <c r="H319" i="11" s="1"/>
  <c r="H320" i="11" s="1"/>
  <c r="H321" i="11" s="1"/>
  <c r="H322" i="11" s="1"/>
  <c r="H323" i="11" s="1"/>
  <c r="H324" i="11" s="1"/>
  <c r="H325" i="11" s="1"/>
  <c r="H326" i="11" s="1"/>
  <c r="H327" i="11" s="1"/>
  <c r="H328" i="11" s="1"/>
  <c r="H329" i="11" s="1"/>
  <c r="H330" i="11" s="1"/>
  <c r="H331" i="11" s="1"/>
  <c r="H332" i="11" s="1"/>
  <c r="H333" i="11" s="1"/>
  <c r="H334" i="11" s="1"/>
  <c r="H335" i="11" s="1"/>
  <c r="H336" i="11" s="1"/>
  <c r="G316" i="11"/>
  <c r="G317" i="11" s="1"/>
  <c r="G318" i="11" s="1"/>
  <c r="G319" i="11" s="1"/>
  <c r="G320" i="11" s="1"/>
  <c r="G321" i="11" s="1"/>
  <c r="G322" i="11" s="1"/>
  <c r="G323" i="11" s="1"/>
  <c r="G324" i="11" s="1"/>
  <c r="G325" i="11" s="1"/>
  <c r="G326" i="11" s="1"/>
  <c r="G327" i="11" s="1"/>
  <c r="G328" i="11" s="1"/>
  <c r="G329" i="11" s="1"/>
  <c r="G330" i="11" s="1"/>
  <c r="G331" i="11" s="1"/>
  <c r="G332" i="11" s="1"/>
  <c r="G333" i="11" s="1"/>
  <c r="G334" i="11" s="1"/>
  <c r="G335" i="11" s="1"/>
  <c r="G336" i="11" s="1"/>
  <c r="F316" i="11"/>
  <c r="F317" i="11" s="1"/>
  <c r="F318" i="11" s="1"/>
  <c r="F319" i="11" s="1"/>
  <c r="F320" i="11" s="1"/>
  <c r="F321" i="11" s="1"/>
  <c r="F322" i="11" s="1"/>
  <c r="F323" i="11" s="1"/>
  <c r="F324" i="11" s="1"/>
  <c r="F325" i="11" s="1"/>
  <c r="F326" i="11" s="1"/>
  <c r="F327" i="11" s="1"/>
  <c r="F328" i="11" s="1"/>
  <c r="F329" i="11" s="1"/>
  <c r="F330" i="11" s="1"/>
  <c r="F331" i="11" s="1"/>
  <c r="F332" i="11" s="1"/>
  <c r="F333" i="11" s="1"/>
  <c r="F334" i="11" s="1"/>
  <c r="F335" i="11" s="1"/>
  <c r="F336" i="11" s="1"/>
  <c r="E316" i="11"/>
  <c r="E317" i="11" s="1"/>
  <c r="E318" i="11" s="1"/>
  <c r="E319" i="11" s="1"/>
  <c r="E320" i="11" s="1"/>
  <c r="E321" i="11" s="1"/>
  <c r="E322" i="11" s="1"/>
  <c r="E323" i="11" s="1"/>
  <c r="E324" i="11" s="1"/>
  <c r="E325" i="11" s="1"/>
  <c r="E326" i="11" s="1"/>
  <c r="E327" i="11" s="1"/>
  <c r="E328" i="11" s="1"/>
  <c r="E329" i="11" s="1"/>
  <c r="E330" i="11" s="1"/>
  <c r="E331" i="11" s="1"/>
  <c r="E332" i="11" s="1"/>
  <c r="E333" i="11" s="1"/>
  <c r="E334" i="11" s="1"/>
  <c r="E335" i="11" s="1"/>
  <c r="E336" i="11" s="1"/>
  <c r="H204" i="11"/>
  <c r="H205" i="11" s="1"/>
  <c r="H206" i="11" s="1"/>
  <c r="H207" i="11" s="1"/>
  <c r="H208" i="11" s="1"/>
  <c r="H209" i="11" s="1"/>
  <c r="H210" i="11" s="1"/>
  <c r="H211" i="11" s="1"/>
  <c r="H212" i="11" s="1"/>
  <c r="H213" i="11" s="1"/>
  <c r="H214" i="11" s="1"/>
  <c r="H215" i="11" s="1"/>
  <c r="H216" i="11" s="1"/>
  <c r="H217" i="11" s="1"/>
  <c r="H218" i="11" s="1"/>
  <c r="H219" i="11" s="1"/>
  <c r="H220" i="11" s="1"/>
  <c r="H221" i="11" s="1"/>
  <c r="H222" i="11" s="1"/>
  <c r="H223" i="11" s="1"/>
  <c r="G204" i="11"/>
  <c r="G205" i="11" s="1"/>
  <c r="G206" i="11" s="1"/>
  <c r="G207" i="11" s="1"/>
  <c r="G208" i="11" s="1"/>
  <c r="G209" i="11" s="1"/>
  <c r="G210" i="11" s="1"/>
  <c r="G211" i="11" s="1"/>
  <c r="G212" i="11" s="1"/>
  <c r="G213" i="11" s="1"/>
  <c r="G214" i="11" s="1"/>
  <c r="G215" i="11" s="1"/>
  <c r="G216" i="11" s="1"/>
  <c r="G217" i="11" s="1"/>
  <c r="G218" i="11" s="1"/>
  <c r="G219" i="11" s="1"/>
  <c r="G220" i="11" s="1"/>
  <c r="G221" i="11" s="1"/>
  <c r="G222" i="11" s="1"/>
  <c r="G223" i="11" s="1"/>
  <c r="F204" i="11"/>
  <c r="F205" i="11" s="1"/>
  <c r="F206" i="11" s="1"/>
  <c r="F207" i="11" s="1"/>
  <c r="F208" i="11" s="1"/>
  <c r="F209" i="11" s="1"/>
  <c r="F210" i="11" s="1"/>
  <c r="F211" i="11" s="1"/>
  <c r="F212" i="11" s="1"/>
  <c r="F213" i="11" s="1"/>
  <c r="F214" i="11" s="1"/>
  <c r="F215" i="11" s="1"/>
  <c r="F216" i="11" s="1"/>
  <c r="F217" i="11" s="1"/>
  <c r="F218" i="11" s="1"/>
  <c r="F219" i="11" s="1"/>
  <c r="F220" i="11" s="1"/>
  <c r="F221" i="11" s="1"/>
  <c r="F222" i="11" s="1"/>
  <c r="F223" i="11" s="1"/>
  <c r="E204" i="11"/>
  <c r="E205" i="11" s="1"/>
  <c r="E206" i="11" s="1"/>
  <c r="E207" i="11" s="1"/>
  <c r="E208" i="11" s="1"/>
  <c r="E209" i="11" s="1"/>
  <c r="E210" i="11" s="1"/>
  <c r="E211" i="11" s="1"/>
  <c r="E212" i="11" s="1"/>
  <c r="E213" i="11" s="1"/>
  <c r="E214" i="11" s="1"/>
  <c r="E215" i="11" s="1"/>
  <c r="E216" i="11" s="1"/>
  <c r="E217" i="11" s="1"/>
  <c r="E218" i="11" s="1"/>
  <c r="E219" i="11" s="1"/>
  <c r="E220" i="11" s="1"/>
  <c r="E221" i="11" s="1"/>
  <c r="E222" i="11" s="1"/>
  <c r="E223" i="11" s="1"/>
  <c r="D204" i="11"/>
  <c r="D205" i="11" s="1"/>
  <c r="D206" i="11" s="1"/>
  <c r="D207" i="11" s="1"/>
  <c r="D208" i="11" s="1"/>
  <c r="D209" i="11" s="1"/>
  <c r="D210" i="11" s="1"/>
  <c r="D211" i="11" s="1"/>
  <c r="D212" i="11" s="1"/>
  <c r="D213" i="11" s="1"/>
  <c r="D214" i="11" s="1"/>
  <c r="D215" i="11" s="1"/>
  <c r="D216" i="11" s="1"/>
  <c r="D217" i="11" s="1"/>
  <c r="D218" i="11" s="1"/>
  <c r="D219" i="11" s="1"/>
  <c r="D220" i="11" s="1"/>
  <c r="D221" i="11" s="1"/>
  <c r="D222" i="11" s="1"/>
  <c r="D223" i="11" s="1"/>
  <c r="J202" i="13" l="1"/>
  <c r="I203" i="13" s="1"/>
  <c r="G133" i="13"/>
  <c r="H132" i="13"/>
  <c r="I132" i="13" s="1"/>
  <c r="E132" i="13"/>
  <c r="F132" i="13" s="1"/>
  <c r="D133" i="13"/>
  <c r="E201" i="13"/>
  <c r="D202" i="13" s="1"/>
  <c r="J203" i="13"/>
  <c r="I204" i="13" s="1"/>
  <c r="P135" i="13"/>
  <c r="Q134" i="13"/>
  <c r="R134" i="13" s="1"/>
  <c r="M135" i="13"/>
  <c r="N134" i="13"/>
  <c r="O134" i="13" s="1"/>
  <c r="K132" i="13"/>
  <c r="L132" i="13" s="1"/>
  <c r="J133" i="13"/>
  <c r="K305" i="11"/>
  <c r="K304" i="11"/>
  <c r="K303" i="11"/>
  <c r="K302" i="11"/>
  <c r="I305" i="11"/>
  <c r="I304" i="11"/>
  <c r="I303" i="11"/>
  <c r="I302" i="11"/>
  <c r="G305" i="11"/>
  <c r="G304" i="11"/>
  <c r="G303" i="11"/>
  <c r="G302" i="11"/>
  <c r="E305" i="11"/>
  <c r="E302" i="11"/>
  <c r="E304" i="11"/>
  <c r="E303" i="11"/>
  <c r="C305" i="11"/>
  <c r="C304" i="11"/>
  <c r="C303" i="11"/>
  <c r="C302" i="11"/>
  <c r="J204" i="13" l="1"/>
  <c r="I205" i="13" s="1"/>
  <c r="J206" i="13" s="1"/>
  <c r="I207" i="13" s="1"/>
  <c r="H133" i="13"/>
  <c r="I133" i="13" s="1"/>
  <c r="G134" i="13"/>
  <c r="D134" i="13"/>
  <c r="E133" i="13"/>
  <c r="F133" i="13" s="1"/>
  <c r="E202" i="13"/>
  <c r="J205" i="13"/>
  <c r="I206" i="13" s="1"/>
  <c r="M136" i="13"/>
  <c r="N135" i="13"/>
  <c r="O135" i="13" s="1"/>
  <c r="P136" i="13"/>
  <c r="Q135" i="13"/>
  <c r="R135" i="13" s="1"/>
  <c r="J134" i="13"/>
  <c r="K133" i="13"/>
  <c r="L133" i="13" s="1"/>
  <c r="D154" i="11"/>
  <c r="E154" i="11"/>
  <c r="D155" i="11" s="1"/>
  <c r="D156" i="11"/>
  <c r="E156" i="11"/>
  <c r="D157" i="11" s="1"/>
  <c r="D158" i="11"/>
  <c r="E158" i="11"/>
  <c r="D159" i="11" s="1"/>
  <c r="D160" i="11"/>
  <c r="E161" i="11" s="1"/>
  <c r="E160" i="11"/>
  <c r="D161" i="11" s="1"/>
  <c r="D162" i="11"/>
  <c r="E162" i="11"/>
  <c r="D163" i="11" s="1"/>
  <c r="D164" i="11"/>
  <c r="E164" i="11"/>
  <c r="D165" i="11" s="1"/>
  <c r="D166" i="11"/>
  <c r="E166" i="11"/>
  <c r="D167" i="11" s="1"/>
  <c r="D168" i="11"/>
  <c r="E168" i="11"/>
  <c r="D169" i="11" s="1"/>
  <c r="D170" i="11"/>
  <c r="E152" i="11"/>
  <c r="D153" i="11" s="1"/>
  <c r="D152" i="11"/>
  <c r="E153" i="11" s="1"/>
  <c r="D135" i="13" l="1"/>
  <c r="E134" i="13"/>
  <c r="F134" i="13" s="1"/>
  <c r="G135" i="13"/>
  <c r="H134" i="13"/>
  <c r="I134" i="13" s="1"/>
  <c r="D203" i="13"/>
  <c r="E204" i="13" s="1"/>
  <c r="D205" i="13" s="1"/>
  <c r="E203" i="13"/>
  <c r="D204" i="13" s="1"/>
  <c r="J135" i="13"/>
  <c r="K134" i="13"/>
  <c r="L134" i="13" s="1"/>
  <c r="P137" i="13"/>
  <c r="Q136" i="13"/>
  <c r="R136" i="13" s="1"/>
  <c r="J207" i="13"/>
  <c r="I208" i="13" s="1"/>
  <c r="M137" i="13"/>
  <c r="N136" i="13"/>
  <c r="O136" i="13" s="1"/>
  <c r="J208" i="13"/>
  <c r="I209" i="13" s="1"/>
  <c r="E169" i="11"/>
  <c r="E155" i="11"/>
  <c r="E165" i="11"/>
  <c r="E157" i="11"/>
  <c r="E167" i="11"/>
  <c r="E159" i="11"/>
  <c r="E163" i="11"/>
  <c r="C253" i="12"/>
  <c r="C252" i="12"/>
  <c r="C251" i="12"/>
  <c r="C250" i="12"/>
  <c r="C249" i="12"/>
  <c r="C248" i="12"/>
  <c r="C247" i="12"/>
  <c r="B253" i="12"/>
  <c r="B252" i="12"/>
  <c r="B251" i="12"/>
  <c r="B250" i="12"/>
  <c r="B249" i="12"/>
  <c r="B248" i="12"/>
  <c r="B247" i="12"/>
  <c r="D211" i="12"/>
  <c r="C212" i="12"/>
  <c r="C184" i="12"/>
  <c r="E205" i="13" l="1"/>
  <c r="E206" i="13" s="1"/>
  <c r="D207" i="13" s="1"/>
  <c r="H135" i="13"/>
  <c r="I135" i="13" s="1"/>
  <c r="G136" i="13"/>
  <c r="D136" i="13"/>
  <c r="E135" i="13"/>
  <c r="F135" i="13" s="1"/>
  <c r="P138" i="13"/>
  <c r="Q137" i="13"/>
  <c r="R137" i="13" s="1"/>
  <c r="M138" i="13"/>
  <c r="N137" i="13"/>
  <c r="O137" i="13" s="1"/>
  <c r="J209" i="13"/>
  <c r="I210" i="13" s="1"/>
  <c r="J136" i="13"/>
  <c r="K135" i="13"/>
  <c r="L135" i="13" s="1"/>
  <c r="D206" i="13"/>
  <c r="J210" i="13"/>
  <c r="I211" i="13" s="1"/>
  <c r="J17" i="12"/>
  <c r="J18" i="12"/>
  <c r="J19" i="12"/>
  <c r="J20" i="12"/>
  <c r="J21" i="12"/>
  <c r="J22" i="12"/>
  <c r="J23" i="12"/>
  <c r="J24" i="12"/>
  <c r="J25" i="12"/>
  <c r="J26" i="12"/>
  <c r="J27" i="12"/>
  <c r="J28" i="12"/>
  <c r="J29" i="12"/>
  <c r="J30" i="12"/>
  <c r="J31" i="12"/>
  <c r="J16" i="12"/>
  <c r="J32" i="12" s="1"/>
  <c r="I17" i="12"/>
  <c r="I18" i="12"/>
  <c r="I19" i="12"/>
  <c r="I20" i="12"/>
  <c r="I21" i="12"/>
  <c r="I22" i="12"/>
  <c r="I23" i="12"/>
  <c r="I24" i="12"/>
  <c r="I25" i="12"/>
  <c r="I26" i="12"/>
  <c r="I27" i="12"/>
  <c r="I28" i="12"/>
  <c r="I29" i="12"/>
  <c r="I30" i="12"/>
  <c r="I31" i="12"/>
  <c r="I16" i="12"/>
  <c r="I32" i="12" s="1"/>
  <c r="H17" i="12"/>
  <c r="H18" i="12"/>
  <c r="H19" i="12"/>
  <c r="H20" i="12"/>
  <c r="H21" i="12"/>
  <c r="H22" i="12"/>
  <c r="H23" i="12"/>
  <c r="H24" i="12"/>
  <c r="H25" i="12"/>
  <c r="H26" i="12"/>
  <c r="H27" i="12"/>
  <c r="H28" i="12"/>
  <c r="H29" i="12"/>
  <c r="H30" i="12"/>
  <c r="H31" i="12"/>
  <c r="H16" i="12"/>
  <c r="H32" i="12" s="1"/>
  <c r="G17" i="12"/>
  <c r="G18" i="12"/>
  <c r="G19" i="12"/>
  <c r="G20" i="12"/>
  <c r="G21" i="12"/>
  <c r="G22" i="12"/>
  <c r="G23" i="12"/>
  <c r="G24" i="12"/>
  <c r="G25" i="12"/>
  <c r="G26" i="12"/>
  <c r="G27" i="12"/>
  <c r="G28" i="12"/>
  <c r="G29" i="12"/>
  <c r="G30" i="12"/>
  <c r="G31" i="12"/>
  <c r="G16" i="12"/>
  <c r="G32" i="12" s="1"/>
  <c r="F17" i="12"/>
  <c r="F18" i="12"/>
  <c r="F19" i="12"/>
  <c r="F20" i="12"/>
  <c r="F21" i="12"/>
  <c r="F22" i="12"/>
  <c r="F23" i="12"/>
  <c r="F24" i="12"/>
  <c r="F25" i="12"/>
  <c r="F26" i="12"/>
  <c r="F27" i="12"/>
  <c r="F28" i="12"/>
  <c r="F29" i="12"/>
  <c r="F30" i="12"/>
  <c r="F31" i="12"/>
  <c r="F16" i="12"/>
  <c r="F32" i="12" s="1"/>
  <c r="E17" i="12"/>
  <c r="E18" i="12"/>
  <c r="E19" i="12"/>
  <c r="E20" i="12"/>
  <c r="E21" i="12"/>
  <c r="E22" i="12"/>
  <c r="E23" i="12"/>
  <c r="E24" i="12"/>
  <c r="E25" i="12"/>
  <c r="E26" i="12"/>
  <c r="E27" i="12"/>
  <c r="E28" i="12"/>
  <c r="E29" i="12"/>
  <c r="E30" i="12"/>
  <c r="E31" i="12"/>
  <c r="E16" i="12"/>
  <c r="E32" i="12" s="1"/>
  <c r="D17" i="12"/>
  <c r="D18" i="12"/>
  <c r="D19" i="12"/>
  <c r="D20" i="12"/>
  <c r="D21" i="12"/>
  <c r="D22" i="12"/>
  <c r="D23" i="12"/>
  <c r="D24" i="12"/>
  <c r="D25" i="12"/>
  <c r="D26" i="12"/>
  <c r="D27" i="12"/>
  <c r="D28" i="12"/>
  <c r="D29" i="12"/>
  <c r="D30" i="12"/>
  <c r="D31" i="12"/>
  <c r="D16" i="12"/>
  <c r="D32" i="12" s="1"/>
  <c r="C32" i="12"/>
  <c r="B32" i="12"/>
  <c r="D137" i="13" l="1"/>
  <c r="E136" i="13"/>
  <c r="F136" i="13" s="1"/>
  <c r="H136" i="13"/>
  <c r="I136" i="13" s="1"/>
  <c r="G137" i="13"/>
  <c r="P139" i="13"/>
  <c r="Q138" i="13"/>
  <c r="R138" i="13" s="1"/>
  <c r="J137" i="13"/>
  <c r="K136" i="13"/>
  <c r="L136" i="13" s="1"/>
  <c r="M139" i="13"/>
  <c r="N138" i="13"/>
  <c r="O138" i="13" s="1"/>
  <c r="E207" i="13"/>
  <c r="J211" i="13"/>
  <c r="I212" i="13" s="1"/>
  <c r="K127" i="11"/>
  <c r="J75" i="11"/>
  <c r="J76" i="11"/>
  <c r="J77" i="11"/>
  <c r="J78" i="11"/>
  <c r="J79" i="11"/>
  <c r="J80" i="11"/>
  <c r="J81" i="11"/>
  <c r="J82" i="11"/>
  <c r="J83" i="11"/>
  <c r="J84" i="11"/>
  <c r="J85" i="11"/>
  <c r="J86" i="11"/>
  <c r="J87" i="11"/>
  <c r="J88" i="11"/>
  <c r="J74" i="11"/>
  <c r="K75" i="11" s="1"/>
  <c r="G89" i="11"/>
  <c r="G74" i="11"/>
  <c r="G75" i="11"/>
  <c r="G76" i="11"/>
  <c r="G77" i="11"/>
  <c r="G78" i="11"/>
  <c r="G79" i="11"/>
  <c r="G80" i="11"/>
  <c r="G81" i="11"/>
  <c r="G82" i="11"/>
  <c r="G83" i="11"/>
  <c r="G84" i="11"/>
  <c r="G85" i="11"/>
  <c r="G86" i="11"/>
  <c r="G87" i="11"/>
  <c r="G88" i="11"/>
  <c r="G73" i="11"/>
  <c r="I75" i="11"/>
  <c r="I76" i="11"/>
  <c r="I77" i="11"/>
  <c r="I78" i="11"/>
  <c r="I79" i="11"/>
  <c r="I80" i="11"/>
  <c r="I81" i="11"/>
  <c r="I82" i="11"/>
  <c r="I83" i="11"/>
  <c r="I84" i="11"/>
  <c r="I85" i="11"/>
  <c r="I86" i="11"/>
  <c r="I87" i="11"/>
  <c r="I88" i="11"/>
  <c r="I89" i="11"/>
  <c r="I74" i="11"/>
  <c r="F90" i="11"/>
  <c r="F75" i="11"/>
  <c r="F76" i="11"/>
  <c r="F77" i="11"/>
  <c r="F78" i="11"/>
  <c r="F79" i="11"/>
  <c r="F80" i="11"/>
  <c r="F81" i="11"/>
  <c r="F82" i="11"/>
  <c r="F83" i="11"/>
  <c r="F84" i="11"/>
  <c r="F85" i="11"/>
  <c r="F86" i="11"/>
  <c r="F87" i="11"/>
  <c r="F88" i="11"/>
  <c r="F89" i="11"/>
  <c r="F74" i="11"/>
  <c r="F73" i="11"/>
  <c r="D90" i="11"/>
  <c r="D73" i="11"/>
  <c r="D74" i="11"/>
  <c r="D75" i="11"/>
  <c r="D76" i="11"/>
  <c r="D77" i="11"/>
  <c r="D78" i="11"/>
  <c r="D79" i="11"/>
  <c r="D80" i="11"/>
  <c r="D81" i="11"/>
  <c r="D82" i="11"/>
  <c r="D83" i="11"/>
  <c r="D84" i="11"/>
  <c r="D85" i="11"/>
  <c r="D86" i="11"/>
  <c r="D87" i="11"/>
  <c r="D88" i="11"/>
  <c r="D89" i="11"/>
  <c r="D72" i="11"/>
  <c r="H12" i="11"/>
  <c r="F27" i="11"/>
  <c r="H26" i="11"/>
  <c r="H13" i="11"/>
  <c r="H14" i="11"/>
  <c r="H15" i="11"/>
  <c r="H16" i="11"/>
  <c r="H17" i="11"/>
  <c r="H18" i="11"/>
  <c r="H19" i="11"/>
  <c r="H20" i="11"/>
  <c r="H21" i="11"/>
  <c r="H22" i="11"/>
  <c r="H23" i="11"/>
  <c r="H24" i="11"/>
  <c r="H25" i="11"/>
  <c r="F12" i="11"/>
  <c r="F13" i="11"/>
  <c r="F14" i="11"/>
  <c r="F15" i="11"/>
  <c r="F16" i="11"/>
  <c r="F17" i="11"/>
  <c r="F18" i="11"/>
  <c r="F19" i="11"/>
  <c r="F20" i="11"/>
  <c r="F21" i="11"/>
  <c r="F22" i="11"/>
  <c r="F23" i="11"/>
  <c r="F24" i="11"/>
  <c r="F25" i="11"/>
  <c r="F26" i="11"/>
  <c r="F11" i="11"/>
  <c r="E13" i="11"/>
  <c r="E14" i="11"/>
  <c r="E15" i="11"/>
  <c r="E16" i="11"/>
  <c r="E17" i="11"/>
  <c r="E18" i="11"/>
  <c r="E19" i="11"/>
  <c r="E20" i="11"/>
  <c r="E21" i="11"/>
  <c r="E22" i="11"/>
  <c r="E23" i="11"/>
  <c r="E24" i="11"/>
  <c r="E25" i="11"/>
  <c r="E26" i="11"/>
  <c r="E27" i="11"/>
  <c r="E12" i="11"/>
  <c r="H137" i="13" l="1"/>
  <c r="I137" i="13" s="1"/>
  <c r="G138" i="13"/>
  <c r="D138" i="13"/>
  <c r="E137" i="13"/>
  <c r="F137" i="13" s="1"/>
  <c r="M140" i="13"/>
  <c r="N139" i="13"/>
  <c r="O139" i="13" s="1"/>
  <c r="P140" i="13"/>
  <c r="Q139" i="13"/>
  <c r="R139" i="13" s="1"/>
  <c r="J138" i="13"/>
  <c r="K137" i="13"/>
  <c r="L137" i="13" s="1"/>
  <c r="D208" i="13"/>
  <c r="E208" i="13"/>
  <c r="D209" i="13" s="1"/>
  <c r="J212" i="13"/>
  <c r="I213" i="13" s="1"/>
  <c r="E86" i="11"/>
  <c r="I24" i="11"/>
  <c r="I20" i="11"/>
  <c r="I16" i="11"/>
  <c r="E89" i="11"/>
  <c r="E85" i="11"/>
  <c r="E81" i="11"/>
  <c r="E77" i="11"/>
  <c r="E90" i="11"/>
  <c r="H88" i="11"/>
  <c r="H84" i="11"/>
  <c r="H80" i="11"/>
  <c r="H76" i="11"/>
  <c r="G23" i="11"/>
  <c r="G19" i="11"/>
  <c r="I26" i="11"/>
  <c r="E73" i="11"/>
  <c r="E87" i="11"/>
  <c r="E83" i="11"/>
  <c r="E79" i="11"/>
  <c r="E75" i="11"/>
  <c r="H87" i="11"/>
  <c r="H83" i="11"/>
  <c r="H79" i="11"/>
  <c r="H75" i="11"/>
  <c r="K84" i="11"/>
  <c r="K80" i="11"/>
  <c r="K77" i="11"/>
  <c r="E78" i="11"/>
  <c r="K87" i="11"/>
  <c r="K83" i="11"/>
  <c r="K79" i="11"/>
  <c r="I23" i="11"/>
  <c r="I19" i="11"/>
  <c r="I15" i="11"/>
  <c r="E88" i="11"/>
  <c r="E84" i="11"/>
  <c r="E80" i="11"/>
  <c r="E76" i="11"/>
  <c r="K86" i="11"/>
  <c r="K82" i="11"/>
  <c r="K78" i="11"/>
  <c r="K85" i="11"/>
  <c r="E82" i="11"/>
  <c r="E74" i="11"/>
  <c r="H74" i="11"/>
  <c r="H86" i="11"/>
  <c r="H82" i="11"/>
  <c r="H78" i="11"/>
  <c r="H89" i="11"/>
  <c r="K88" i="11"/>
  <c r="K76" i="11"/>
  <c r="K81" i="11"/>
  <c r="H85" i="11"/>
  <c r="H81" i="11"/>
  <c r="H77" i="11"/>
  <c r="G12" i="11"/>
  <c r="G16" i="11"/>
  <c r="I22" i="11"/>
  <c r="I18" i="11"/>
  <c r="I13" i="11"/>
  <c r="I14" i="11"/>
  <c r="G25" i="11"/>
  <c r="G21" i="11"/>
  <c r="G17" i="11"/>
  <c r="G13" i="11"/>
  <c r="G27" i="11"/>
  <c r="G22" i="11"/>
  <c r="G18" i="11"/>
  <c r="G14" i="11"/>
  <c r="I25" i="11"/>
  <c r="I21" i="11"/>
  <c r="I17" i="11"/>
  <c r="G24" i="11"/>
  <c r="G20" i="11"/>
  <c r="G15" i="11"/>
  <c r="G26" i="11"/>
  <c r="D139" i="13" l="1"/>
  <c r="E138" i="13"/>
  <c r="F138" i="13" s="1"/>
  <c r="H138" i="13"/>
  <c r="I138" i="13" s="1"/>
  <c r="G139" i="13"/>
  <c r="J139" i="13"/>
  <c r="K138" i="13"/>
  <c r="L138" i="13" s="1"/>
  <c r="P141" i="13"/>
  <c r="Q140" i="13"/>
  <c r="R140" i="13" s="1"/>
  <c r="M141" i="13"/>
  <c r="N140" i="13"/>
  <c r="O140" i="13" s="1"/>
  <c r="E209" i="13"/>
  <c r="D210" i="13" s="1"/>
  <c r="J213" i="13"/>
  <c r="I214" i="13" s="1"/>
  <c r="D12" i="11"/>
  <c r="D13" i="11"/>
  <c r="D14" i="11"/>
  <c r="D15" i="11"/>
  <c r="D16" i="11"/>
  <c r="D17" i="11"/>
  <c r="D18" i="11"/>
  <c r="D19" i="11"/>
  <c r="D20" i="11"/>
  <c r="D21" i="11"/>
  <c r="D22" i="11"/>
  <c r="D23" i="11"/>
  <c r="D24" i="11"/>
  <c r="D25" i="11"/>
  <c r="D26" i="11"/>
  <c r="D27" i="11"/>
  <c r="D28" i="11"/>
  <c r="D11" i="11"/>
  <c r="G140" i="13" l="1"/>
  <c r="H139" i="13"/>
  <c r="I139" i="13" s="1"/>
  <c r="D140" i="13"/>
  <c r="E139" i="13"/>
  <c r="F139" i="13" s="1"/>
  <c r="P142" i="13"/>
  <c r="Q141" i="13"/>
  <c r="R141" i="13" s="1"/>
  <c r="M142" i="13"/>
  <c r="N141" i="13"/>
  <c r="O141" i="13" s="1"/>
  <c r="J140" i="13"/>
  <c r="K139" i="13"/>
  <c r="L139" i="13" s="1"/>
  <c r="E210" i="13"/>
  <c r="D211" i="13" s="1"/>
  <c r="J214" i="13"/>
  <c r="I215" i="13" s="1"/>
  <c r="F9" i="9"/>
  <c r="F10" i="9"/>
  <c r="F11" i="9"/>
  <c r="F12" i="9"/>
  <c r="F13" i="9"/>
  <c r="F14" i="9"/>
  <c r="F15" i="9"/>
  <c r="F16" i="9"/>
  <c r="F17" i="9"/>
  <c r="F18" i="9"/>
  <c r="F19" i="9"/>
  <c r="F20" i="9"/>
  <c r="F21" i="9"/>
  <c r="F22" i="9"/>
  <c r="F8" i="9"/>
  <c r="F24" i="9" s="1"/>
  <c r="B23" i="9"/>
  <c r="C11" i="9" s="1"/>
  <c r="E11" i="9" s="1"/>
  <c r="E140" i="13" l="1"/>
  <c r="F140" i="13" s="1"/>
  <c r="D141" i="13"/>
  <c r="G141" i="13"/>
  <c r="H140" i="13"/>
  <c r="I140" i="13" s="1"/>
  <c r="P143" i="13"/>
  <c r="Q142" i="13"/>
  <c r="R142" i="13" s="1"/>
  <c r="J141" i="13"/>
  <c r="K140" i="13"/>
  <c r="L140" i="13" s="1"/>
  <c r="M143" i="13"/>
  <c r="N142" i="13"/>
  <c r="O142" i="13" s="1"/>
  <c r="E211" i="13"/>
  <c r="D212" i="13" s="1"/>
  <c r="J215" i="13"/>
  <c r="I216" i="13" s="1"/>
  <c r="C12" i="9"/>
  <c r="E12" i="9" s="1"/>
  <c r="C21" i="9"/>
  <c r="E21" i="9" s="1"/>
  <c r="C17" i="9"/>
  <c r="E17" i="9" s="1"/>
  <c r="C8" i="9"/>
  <c r="E8" i="9" s="1"/>
  <c r="C19" i="9"/>
  <c r="E19" i="9" s="1"/>
  <c r="C9" i="9"/>
  <c r="E9" i="9" s="1"/>
  <c r="C20" i="9"/>
  <c r="E20" i="9" s="1"/>
  <c r="C16" i="9"/>
  <c r="E16" i="9" s="1"/>
  <c r="C13" i="9"/>
  <c r="E13" i="9" s="1"/>
  <c r="C10" i="9"/>
  <c r="E10" i="9" s="1"/>
  <c r="C22" i="9"/>
  <c r="E22" i="9" s="1"/>
  <c r="C18" i="9"/>
  <c r="E18" i="9" s="1"/>
  <c r="C15" i="9"/>
  <c r="E15" i="9" s="1"/>
  <c r="C14" i="9"/>
  <c r="E14" i="9" s="1"/>
  <c r="G171" i="8"/>
  <c r="G167" i="8"/>
  <c r="G163" i="8"/>
  <c r="G160" i="8"/>
  <c r="E171" i="8"/>
  <c r="E167" i="8"/>
  <c r="E163" i="8"/>
  <c r="E160" i="8"/>
  <c r="D171" i="8"/>
  <c r="D167" i="8"/>
  <c r="D163" i="8"/>
  <c r="D160" i="8"/>
  <c r="B60" i="8"/>
  <c r="B92" i="8"/>
  <c r="E151" i="8"/>
  <c r="D151" i="8"/>
  <c r="G140" i="8"/>
  <c r="F140" i="8"/>
  <c r="H139" i="8"/>
  <c r="G139" i="8"/>
  <c r="F139" i="8"/>
  <c r="E139" i="8"/>
  <c r="D139" i="8"/>
  <c r="C139" i="8"/>
  <c r="B139" i="8"/>
  <c r="G142" i="13" l="1"/>
  <c r="H141" i="13"/>
  <c r="I141" i="13" s="1"/>
  <c r="D142" i="13"/>
  <c r="E141" i="13"/>
  <c r="F141" i="13" s="1"/>
  <c r="M144" i="13"/>
  <c r="N143" i="13"/>
  <c r="O143" i="13" s="1"/>
  <c r="P144" i="13"/>
  <c r="Q143" i="13"/>
  <c r="R143" i="13" s="1"/>
  <c r="J142" i="13"/>
  <c r="K141" i="13"/>
  <c r="L141" i="13" s="1"/>
  <c r="E212" i="13"/>
  <c r="J216" i="13"/>
  <c r="I217" i="13" s="1"/>
  <c r="E24" i="9"/>
  <c r="C23" i="9"/>
  <c r="D175" i="8"/>
  <c r="I160" i="8" s="1"/>
  <c r="H160" i="8"/>
  <c r="I139" i="8"/>
  <c r="D126" i="8"/>
  <c r="C126" i="8"/>
  <c r="K125" i="8"/>
  <c r="J125" i="8"/>
  <c r="I125" i="8"/>
  <c r="H125" i="8"/>
  <c r="G125" i="8"/>
  <c r="F125" i="8"/>
  <c r="E125" i="8"/>
  <c r="D125" i="8"/>
  <c r="C125" i="8"/>
  <c r="B125" i="8"/>
  <c r="N99" i="8"/>
  <c r="N100" i="8" s="1"/>
  <c r="M99" i="8"/>
  <c r="M98" i="8"/>
  <c r="L98" i="8"/>
  <c r="L99" i="8"/>
  <c r="L97" i="8"/>
  <c r="K97" i="8"/>
  <c r="K98" i="8"/>
  <c r="K99" i="8"/>
  <c r="K96" i="8"/>
  <c r="J96" i="8"/>
  <c r="J97" i="8"/>
  <c r="J98" i="8"/>
  <c r="J99" i="8"/>
  <c r="J95" i="8"/>
  <c r="I95" i="8"/>
  <c r="I96" i="8"/>
  <c r="I97" i="8"/>
  <c r="I98" i="8"/>
  <c r="I99" i="8"/>
  <c r="I94" i="8"/>
  <c r="H94" i="8"/>
  <c r="H95" i="8"/>
  <c r="H96" i="8"/>
  <c r="H97" i="8"/>
  <c r="H98" i="8"/>
  <c r="H99" i="8"/>
  <c r="H93" i="8"/>
  <c r="G93" i="8"/>
  <c r="G94" i="8"/>
  <c r="G95" i="8"/>
  <c r="G96" i="8"/>
  <c r="G97" i="8"/>
  <c r="G98" i="8"/>
  <c r="G99" i="8"/>
  <c r="G92" i="8"/>
  <c r="F92" i="8"/>
  <c r="F93" i="8"/>
  <c r="F94" i="8"/>
  <c r="F95" i="8"/>
  <c r="F96" i="8"/>
  <c r="F97" i="8"/>
  <c r="F98" i="8"/>
  <c r="F99" i="8"/>
  <c r="F91" i="8"/>
  <c r="E91" i="8"/>
  <c r="E92" i="8"/>
  <c r="E93" i="8"/>
  <c r="E94" i="8"/>
  <c r="E95" i="8"/>
  <c r="E96" i="8"/>
  <c r="E97" i="8"/>
  <c r="E98" i="8"/>
  <c r="E99" i="8"/>
  <c r="E90" i="8"/>
  <c r="D90" i="8"/>
  <c r="D91" i="8"/>
  <c r="D92" i="8"/>
  <c r="D93" i="8"/>
  <c r="D94" i="8"/>
  <c r="D95" i="8"/>
  <c r="D96" i="8"/>
  <c r="D97" i="8"/>
  <c r="D98" i="8"/>
  <c r="D99" i="8"/>
  <c r="D89" i="8"/>
  <c r="C89" i="8"/>
  <c r="C90" i="8"/>
  <c r="C91" i="8"/>
  <c r="C92" i="8"/>
  <c r="C93" i="8"/>
  <c r="C94" i="8"/>
  <c r="C95" i="8"/>
  <c r="C96" i="8"/>
  <c r="C97" i="8"/>
  <c r="C98" i="8"/>
  <c r="C99" i="8"/>
  <c r="C88" i="8"/>
  <c r="B99" i="8"/>
  <c r="B88" i="8"/>
  <c r="B89" i="8"/>
  <c r="B90" i="8"/>
  <c r="B91" i="8"/>
  <c r="B93" i="8"/>
  <c r="B94" i="8"/>
  <c r="B95" i="8"/>
  <c r="B96" i="8"/>
  <c r="B97" i="8"/>
  <c r="B98" i="8"/>
  <c r="B87" i="8"/>
  <c r="D143" i="13" l="1"/>
  <c r="E142" i="13"/>
  <c r="F142" i="13" s="1"/>
  <c r="H142" i="13"/>
  <c r="I142" i="13" s="1"/>
  <c r="G143" i="13"/>
  <c r="J143" i="13"/>
  <c r="K142" i="13"/>
  <c r="L142" i="13" s="1"/>
  <c r="P145" i="13"/>
  <c r="Q144" i="13"/>
  <c r="R144" i="13" s="1"/>
  <c r="M145" i="13"/>
  <c r="N144" i="13"/>
  <c r="O144" i="13" s="1"/>
  <c r="D213" i="13"/>
  <c r="E213" i="13"/>
  <c r="D214" i="13" s="1"/>
  <c r="J217" i="13"/>
  <c r="I218" i="13" s="1"/>
  <c r="J160" i="8"/>
  <c r="K160" i="8" s="1"/>
  <c r="L160" i="8" s="1"/>
  <c r="L125" i="8"/>
  <c r="M100" i="8"/>
  <c r="F101" i="8"/>
  <c r="E101" i="8"/>
  <c r="F100" i="8"/>
  <c r="I100" i="8"/>
  <c r="G100" i="8"/>
  <c r="H100" i="8"/>
  <c r="B100" i="8"/>
  <c r="E100" i="8"/>
  <c r="J100" i="8"/>
  <c r="C100" i="8"/>
  <c r="D100" i="8"/>
  <c r="K100" i="8"/>
  <c r="L100" i="8"/>
  <c r="H75" i="8"/>
  <c r="I75" i="8" s="1"/>
  <c r="H74" i="8"/>
  <c r="I74" i="8" s="1"/>
  <c r="H73" i="8"/>
  <c r="I73" i="8" s="1"/>
  <c r="H71" i="8"/>
  <c r="I71" i="8" s="1"/>
  <c r="H70" i="8"/>
  <c r="I70" i="8" s="1"/>
  <c r="B62" i="8"/>
  <c r="B69" i="8" s="1"/>
  <c r="H72" i="8"/>
  <c r="I72" i="8" s="1"/>
  <c r="H69" i="8"/>
  <c r="F75" i="8"/>
  <c r="E75" i="8"/>
  <c r="F74" i="8"/>
  <c r="E74" i="8"/>
  <c r="F73" i="8"/>
  <c r="E73" i="8"/>
  <c r="F72" i="8"/>
  <c r="E72" i="8"/>
  <c r="F71" i="8"/>
  <c r="E71" i="8"/>
  <c r="F70" i="8"/>
  <c r="E70" i="8"/>
  <c r="F69" i="8"/>
  <c r="E69" i="8"/>
  <c r="H61" i="8"/>
  <c r="B61" i="8"/>
  <c r="G144" i="13" l="1"/>
  <c r="H143" i="13"/>
  <c r="I143" i="13" s="1"/>
  <c r="D144" i="13"/>
  <c r="E143" i="13"/>
  <c r="F143" i="13" s="1"/>
  <c r="P146" i="13"/>
  <c r="Q145" i="13"/>
  <c r="R145" i="13" s="1"/>
  <c r="M146" i="13"/>
  <c r="N145" i="13"/>
  <c r="O145" i="13" s="1"/>
  <c r="J144" i="13"/>
  <c r="K144" i="13" s="1"/>
  <c r="L144" i="13" s="1"/>
  <c r="K143" i="13"/>
  <c r="L143" i="13" s="1"/>
  <c r="K217" i="13"/>
  <c r="L217" i="13" s="1"/>
  <c r="M217" i="13" s="1"/>
  <c r="E214" i="13"/>
  <c r="D215" i="13" s="1"/>
  <c r="J218" i="13"/>
  <c r="I219" i="13" s="1"/>
  <c r="O100" i="8"/>
  <c r="I69" i="8"/>
  <c r="J69" i="8" s="1"/>
  <c r="H76" i="8"/>
  <c r="K69" i="8" s="1"/>
  <c r="B63" i="8"/>
  <c r="C69" i="8" s="1"/>
  <c r="B70" i="8" s="1"/>
  <c r="C70" i="8" s="1"/>
  <c r="B71" i="8" s="1"/>
  <c r="C71" i="8" s="1"/>
  <c r="B72" i="8" s="1"/>
  <c r="C72" i="8" s="1"/>
  <c r="B73" i="8" s="1"/>
  <c r="C73" i="8" s="1"/>
  <c r="E144" i="13" l="1"/>
  <c r="F144" i="13" s="1"/>
  <c r="D145" i="13"/>
  <c r="G145" i="13"/>
  <c r="H144" i="13"/>
  <c r="I144" i="13" s="1"/>
  <c r="P147" i="13"/>
  <c r="Q146" i="13"/>
  <c r="R146" i="13" s="1"/>
  <c r="J145" i="13"/>
  <c r="M147" i="13"/>
  <c r="N146" i="13"/>
  <c r="O146" i="13" s="1"/>
  <c r="K218" i="13"/>
  <c r="L218" i="13" s="1"/>
  <c r="M218" i="13" s="1"/>
  <c r="E215" i="13"/>
  <c r="D216" i="13" s="1"/>
  <c r="J219" i="13"/>
  <c r="I220" i="13" s="1"/>
  <c r="L69" i="8"/>
  <c r="M69" i="8" s="1"/>
  <c r="N69" i="8" s="1"/>
  <c r="N207" i="4"/>
  <c r="R206" i="4"/>
  <c r="G146" i="13" l="1"/>
  <c r="H145" i="13"/>
  <c r="I145" i="13" s="1"/>
  <c r="D146" i="13"/>
  <c r="E145" i="13"/>
  <c r="F145" i="13" s="1"/>
  <c r="P148" i="13"/>
  <c r="Q147" i="13"/>
  <c r="R147" i="13" s="1"/>
  <c r="M148" i="13"/>
  <c r="N147" i="13"/>
  <c r="O147" i="13" s="1"/>
  <c r="K219" i="13"/>
  <c r="L219" i="13" s="1"/>
  <c r="M219" i="13" s="1"/>
  <c r="J146" i="13"/>
  <c r="K145" i="13"/>
  <c r="L145" i="13" s="1"/>
  <c r="E216" i="13"/>
  <c r="E217" i="13" s="1"/>
  <c r="D218" i="13" s="1"/>
  <c r="J220" i="13"/>
  <c r="I221" i="13" s="1"/>
  <c r="R207" i="4"/>
  <c r="D147" i="13" l="1"/>
  <c r="E146" i="13"/>
  <c r="F146" i="13" s="1"/>
  <c r="D217" i="13"/>
  <c r="H146" i="13"/>
  <c r="I146" i="13" s="1"/>
  <c r="G147" i="13"/>
  <c r="K220" i="13"/>
  <c r="L220" i="13" s="1"/>
  <c r="M220" i="13" s="1"/>
  <c r="J147" i="13"/>
  <c r="K146" i="13"/>
  <c r="L146" i="13" s="1"/>
  <c r="M149" i="13"/>
  <c r="N148" i="13"/>
  <c r="O148" i="13" s="1"/>
  <c r="P149" i="13"/>
  <c r="Q148" i="13"/>
  <c r="R148" i="13" s="1"/>
  <c r="F217" i="13"/>
  <c r="G217" i="13" s="1"/>
  <c r="H217" i="13" s="1"/>
  <c r="E218" i="13"/>
  <c r="F218" i="13"/>
  <c r="G218" i="13" s="1"/>
  <c r="H218" i="13" s="1"/>
  <c r="J221" i="13"/>
  <c r="K221" i="13" s="1"/>
  <c r="L221" i="13" s="1"/>
  <c r="M221" i="13" s="1"/>
  <c r="M222" i="13" s="1"/>
  <c r="E170" i="11"/>
  <c r="D171" i="11" s="1"/>
  <c r="G148" i="13" l="1"/>
  <c r="H147" i="13"/>
  <c r="I147" i="13" s="1"/>
  <c r="E147" i="13"/>
  <c r="F147" i="13" s="1"/>
  <c r="D148" i="13"/>
  <c r="P150" i="13"/>
  <c r="Q149" i="13"/>
  <c r="R149" i="13" s="1"/>
  <c r="J148" i="13"/>
  <c r="K147" i="13"/>
  <c r="L147" i="13" s="1"/>
  <c r="M150" i="13"/>
  <c r="N149" i="13"/>
  <c r="O149" i="13" s="1"/>
  <c r="D219" i="13"/>
  <c r="E219" i="13"/>
  <c r="D220" i="13" s="1"/>
  <c r="F219" i="13"/>
  <c r="G219" i="13" s="1"/>
  <c r="H219" i="13" s="1"/>
  <c r="E171" i="11"/>
  <c r="I171" i="11" s="1"/>
  <c r="E148" i="13" l="1"/>
  <c r="F148" i="13" s="1"/>
  <c r="D149" i="13"/>
  <c r="G149" i="13"/>
  <c r="H148" i="13"/>
  <c r="I148" i="13" s="1"/>
  <c r="M151" i="13"/>
  <c r="N150" i="13"/>
  <c r="O150" i="13" s="1"/>
  <c r="J149" i="13"/>
  <c r="K148" i="13"/>
  <c r="L148" i="13" s="1"/>
  <c r="P151" i="13"/>
  <c r="Q150" i="13"/>
  <c r="R150" i="13" s="1"/>
  <c r="F220" i="13"/>
  <c r="G220" i="13" s="1"/>
  <c r="H220" i="13" s="1"/>
  <c r="E220" i="13"/>
  <c r="D221" i="13" s="1"/>
  <c r="G150" i="13" l="1"/>
  <c r="H149" i="13"/>
  <c r="I149" i="13" s="1"/>
  <c r="D150" i="13"/>
  <c r="E149" i="13"/>
  <c r="F149" i="13" s="1"/>
  <c r="J150" i="13"/>
  <c r="K149" i="13"/>
  <c r="L149" i="13" s="1"/>
  <c r="P152" i="13"/>
  <c r="Q151" i="13"/>
  <c r="R151" i="13" s="1"/>
  <c r="M152" i="13"/>
  <c r="N151" i="13"/>
  <c r="O151" i="13" s="1"/>
  <c r="F221" i="13"/>
  <c r="G221" i="13" s="1"/>
  <c r="H221" i="13" s="1"/>
  <c r="H222" i="13" s="1"/>
  <c r="E221" i="13"/>
  <c r="G224" i="13" s="1"/>
  <c r="C233" i="13" s="1"/>
  <c r="E150" i="13" l="1"/>
  <c r="F150" i="13" s="1"/>
  <c r="D151" i="13"/>
  <c r="G151" i="13"/>
  <c r="H150" i="13"/>
  <c r="I150" i="13" s="1"/>
  <c r="J151" i="13"/>
  <c r="K150" i="13"/>
  <c r="L150" i="13" s="1"/>
  <c r="M153" i="13"/>
  <c r="N152" i="13"/>
  <c r="O152" i="13" s="1"/>
  <c r="P153" i="13"/>
  <c r="Q152" i="13"/>
  <c r="R152" i="13" s="1"/>
  <c r="G152" i="13" l="1"/>
  <c r="H151" i="13"/>
  <c r="I151" i="13" s="1"/>
  <c r="D152" i="13"/>
  <c r="E151" i="13"/>
  <c r="F151" i="13" s="1"/>
  <c r="Q153" i="13"/>
  <c r="R153" i="13" s="1"/>
  <c r="R154" i="13" s="1"/>
  <c r="P154" i="13"/>
  <c r="M154" i="13"/>
  <c r="N153" i="13"/>
  <c r="O153" i="13" s="1"/>
  <c r="O154" i="13" s="1"/>
  <c r="J152" i="13"/>
  <c r="K151" i="13"/>
  <c r="L151" i="13" s="1"/>
  <c r="D153" i="13" l="1"/>
  <c r="E152" i="13"/>
  <c r="F152" i="13" s="1"/>
  <c r="H152" i="13"/>
  <c r="I152" i="13" s="1"/>
  <c r="G153" i="13"/>
  <c r="J153" i="13"/>
  <c r="K152" i="13"/>
  <c r="L152" i="13" s="1"/>
  <c r="H153" i="13" l="1"/>
  <c r="I153" i="13" s="1"/>
  <c r="I154" i="13" s="1"/>
  <c r="G154" i="13"/>
  <c r="D154" i="13"/>
  <c r="C230" i="13" s="1"/>
  <c r="C234" i="13" s="1"/>
  <c r="E153" i="13"/>
  <c r="F153" i="13" s="1"/>
  <c r="F154" i="13" s="1"/>
  <c r="J154" i="13"/>
  <c r="K153" i="13"/>
  <c r="L153" i="13" s="1"/>
  <c r="L154" i="13" s="1"/>
</calcChain>
</file>

<file path=xl/sharedStrings.xml><?xml version="1.0" encoding="utf-8"?>
<sst xmlns="http://schemas.openxmlformats.org/spreadsheetml/2006/main" count="1475" uniqueCount="749">
  <si>
    <t>Индексы физического объема промышленной продукции, в процентах</t>
  </si>
  <si>
    <t>Водоснабжение; канализационная система, контроль над сбором и распределением отходов</t>
  </si>
  <si>
    <t>Количество сфер, абсолютная частота</t>
  </si>
  <si>
    <t>ИВР</t>
  </si>
  <si>
    <t>нижняя граница</t>
  </si>
  <si>
    <t>верхняя граница</t>
  </si>
  <si>
    <t>шаг</t>
  </si>
  <si>
    <t>Сельское, лесное и рыбное хозяйство</t>
  </si>
  <si>
    <t>Горнодобывающая промышленность и разработка карьеров</t>
  </si>
  <si>
    <t>Обрабатывающая промышленность</t>
  </si>
  <si>
    <t>Электроснабжение, подача газа, пара и воздушное кондиционирование</t>
  </si>
  <si>
    <t>Строительство</t>
  </si>
  <si>
    <t>Оптовая и розничная торговля; ремонт автомобилей и мотоциклов</t>
  </si>
  <si>
    <t>Транспорт и складирование</t>
  </si>
  <si>
    <t>Услуги по проживанию и питанию</t>
  </si>
  <si>
    <t>Информация и связь</t>
  </si>
  <si>
    <t>Финансовая и страховая деятельность</t>
  </si>
  <si>
    <t>Операции с недвижимым имуществом</t>
  </si>
  <si>
    <t>Профессиональная, научная и техническая деятельность</t>
  </si>
  <si>
    <t>Деятельность в области административного и вспомогательного обслуживания</t>
  </si>
  <si>
    <t>Государственное управление и оборона; обязательное социальное обеспечение</t>
  </si>
  <si>
    <t>Образование</t>
  </si>
  <si>
    <t>Здравоохранение и социальные услуги</t>
  </si>
  <si>
    <t>Искусство, развлечения и отдых</t>
  </si>
  <si>
    <t>Предоставление прочих видов услуг</t>
  </si>
  <si>
    <t>3) произвести проверку среднего арифметического на соблюдение свойства 4</t>
  </si>
  <si>
    <t>ФЕ, тенге на тенге</t>
  </si>
  <si>
    <t>Денежно-кредитная система</t>
  </si>
  <si>
    <t>на конец периода, млрд. тенге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</si>
  <si>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</si>
  <si>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</si>
  <si>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</si>
  <si>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</si>
  <si>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</si>
  <si>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</si>
  <si>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</si>
  <si>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</si>
  <si>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</si>
  <si>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</si>
  <si>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</si>
  <si>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</si>
  <si>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М0 (наличные деньги в обращении)</t>
  </si>
  <si>
    <t>М1</t>
  </si>
  <si>
    <t>М2</t>
  </si>
  <si>
    <t>М3</t>
  </si>
  <si>
    <t>в процентах</t>
  </si>
  <si>
    <r>
      <t>Денежные агрегаты</t>
    </r>
    <r>
      <rPr>
        <b/>
        <vertAlign val="superscript"/>
        <sz val="12"/>
        <color rgb="FF000000"/>
        <rFont val="Arial"/>
        <family val="2"/>
        <charset val="204"/>
      </rPr>
      <t>*</t>
    </r>
  </si>
  <si>
    <t>внутригрупповая дисперсия</t>
  </si>
  <si>
    <t>межгрупповая дисперсия</t>
  </si>
  <si>
    <t>общая дисперсия</t>
  </si>
  <si>
    <t>Задание 1</t>
  </si>
  <si>
    <t>Тема 1 "Основные понятия математической статистики. Понятие вариационного ряда, его виды. Группировка данных. Графическое изображение вариационного ряда"</t>
  </si>
  <si>
    <t>Сфера экономической деятельности</t>
  </si>
  <si>
    <t>Число действующих предприятий</t>
  </si>
  <si>
    <t>Зарегистрировано юридических лиц по видам деятельности</t>
  </si>
  <si>
    <t>Всего</t>
  </si>
  <si>
    <t>В том числе по формам собственности</t>
  </si>
  <si>
    <t>государственная</t>
  </si>
  <si>
    <t>частная всего</t>
  </si>
  <si>
    <t>из них</t>
  </si>
  <si>
    <t>иностранная</t>
  </si>
  <si>
    <t>с участием государства</t>
  </si>
  <si>
    <t>(без иностранного участия)</t>
  </si>
  <si>
    <t>совместных предприятий</t>
  </si>
  <si>
    <t>(с иностранным участием)</t>
  </si>
  <si>
    <t>Республика Казахстан</t>
  </si>
  <si>
    <t>-</t>
  </si>
  <si>
    <t>Деятельность домашних хозяйств, нанимающих домашнюю прислугу и производящих товары и услуги для собственного потребления</t>
  </si>
  <si>
    <t>Деятельность экстерриториальных организаций и органов</t>
  </si>
  <si>
    <t>Зарегистрировано юридических лиц по видам деятельности и формам собственности</t>
  </si>
  <si>
    <t>Январь-июль 2017г.</t>
  </si>
  <si>
    <t>млн. ткм</t>
  </si>
  <si>
    <t>к январю-июлю 2016г, в процентах</t>
  </si>
  <si>
    <t>305 038,3</t>
  </si>
  <si>
    <t>в том числе:</t>
  </si>
  <si>
    <t>железнодорожный</t>
  </si>
  <si>
    <t>145 060,8</t>
  </si>
  <si>
    <t>84 436,1</t>
  </si>
  <si>
    <t>трубопроводный</t>
  </si>
  <si>
    <t>74 621,7</t>
  </si>
  <si>
    <t>морским</t>
  </si>
  <si>
    <t>воздушным</t>
  </si>
  <si>
    <t>внутренним водным</t>
  </si>
  <si>
    <t>Грузооборот транспорта</t>
  </si>
  <si>
    <r>
      <t>автомобильный</t>
    </r>
    <r>
      <rPr>
        <vertAlign val="superscript"/>
        <sz val="11"/>
        <color rgb="FF000000"/>
        <rFont val="Calibri"/>
        <family val="2"/>
        <charset val="204"/>
      </rPr>
      <t>*</t>
    </r>
  </si>
  <si>
    <t>Вид транспорта</t>
  </si>
  <si>
    <t>Январь-июнь 2017г.,</t>
  </si>
  <si>
    <t>млн. долларов США</t>
  </si>
  <si>
    <t>В процентах к январю-июню 2016г.</t>
  </si>
  <si>
    <t>январь-июнь 2016г. к январю-июню 2015г., в процентах</t>
  </si>
  <si>
    <t>Внешнеторговый оборот</t>
  </si>
  <si>
    <t>Экспорт</t>
  </si>
  <si>
    <t>страны СНГ</t>
  </si>
  <si>
    <t xml:space="preserve">из них </t>
  </si>
  <si>
    <t>страны ЕАЭС</t>
  </si>
  <si>
    <t>другие страны мира</t>
  </si>
  <si>
    <t>Импорт</t>
  </si>
  <si>
    <r>
      <t>Справочно</t>
    </r>
    <r>
      <rPr>
        <sz val="11"/>
        <color rgb="FF000000"/>
        <rFont val="Calibri"/>
        <family val="2"/>
        <charset val="204"/>
      </rPr>
      <t>:</t>
    </r>
  </si>
  <si>
    <t>Товарная структура экспорта в январе-июне 2017г.</t>
  </si>
  <si>
    <t>Внешнеторговый оборот по отдельным странам в январе-июне 2017г.</t>
  </si>
  <si>
    <t>Страны</t>
  </si>
  <si>
    <t>Млн. долларов США</t>
  </si>
  <si>
    <t>В процентах к итогу</t>
  </si>
  <si>
    <t>экспорт</t>
  </si>
  <si>
    <t>импорт</t>
  </si>
  <si>
    <t xml:space="preserve">импорт </t>
  </si>
  <si>
    <t xml:space="preserve">Всего </t>
  </si>
  <si>
    <t>23 167,0</t>
  </si>
  <si>
    <t>из него:</t>
  </si>
  <si>
    <t>Австрия</t>
  </si>
  <si>
    <t>Армения</t>
  </si>
  <si>
    <t>Беларусь</t>
  </si>
  <si>
    <t>Германия</t>
  </si>
  <si>
    <t>Греция</t>
  </si>
  <si>
    <t>Иран</t>
  </si>
  <si>
    <t>Испания</t>
  </si>
  <si>
    <t>Италия</t>
  </si>
  <si>
    <t>Китай</t>
  </si>
  <si>
    <t>Кыргызстан</t>
  </si>
  <si>
    <t>Нидерланды</t>
  </si>
  <si>
    <t>Польша</t>
  </si>
  <si>
    <t>Республика Корея</t>
  </si>
  <si>
    <t>Россия</t>
  </si>
  <si>
    <t>США</t>
  </si>
  <si>
    <t>Турция</t>
  </si>
  <si>
    <t>Узбекистан</t>
  </si>
  <si>
    <t>Украина</t>
  </si>
  <si>
    <t>Франция</t>
  </si>
  <si>
    <t>Швейцария</t>
  </si>
  <si>
    <t>Япония</t>
  </si>
  <si>
    <t>Численность рабочей силы</t>
  </si>
  <si>
    <t>Рабочая сила</t>
  </si>
  <si>
    <t>В том числе</t>
  </si>
  <si>
    <t>занятые</t>
  </si>
  <si>
    <t>безработные</t>
  </si>
  <si>
    <t>тыс. человек</t>
  </si>
  <si>
    <t>в процентах к соответствующему периоду предыдущего года</t>
  </si>
  <si>
    <t>уровень безработицы, в процентах</t>
  </si>
  <si>
    <t xml:space="preserve">Январь </t>
  </si>
  <si>
    <t>Февраль</t>
  </si>
  <si>
    <t>Март</t>
  </si>
  <si>
    <t>I квартал</t>
  </si>
  <si>
    <t>Апрель</t>
  </si>
  <si>
    <t>Май</t>
  </si>
  <si>
    <t>Июнь</t>
  </si>
  <si>
    <t>II квартал</t>
  </si>
  <si>
    <t>Июль</t>
  </si>
  <si>
    <t xml:space="preserve">Август </t>
  </si>
  <si>
    <t xml:space="preserve">Сентябрь </t>
  </si>
  <si>
    <t>III квартал</t>
  </si>
  <si>
    <t xml:space="preserve">Октябрь  </t>
  </si>
  <si>
    <t xml:space="preserve">Ноябрь </t>
  </si>
  <si>
    <t xml:space="preserve">Декабрь </t>
  </si>
  <si>
    <t>IV квартал</t>
  </si>
  <si>
    <t xml:space="preserve">Год </t>
  </si>
  <si>
    <t>Январь</t>
  </si>
  <si>
    <t xml:space="preserve">Февраль </t>
  </si>
  <si>
    <t xml:space="preserve">Март </t>
  </si>
  <si>
    <r>
      <t>2016</t>
    </r>
    <r>
      <rPr>
        <b/>
        <vertAlign val="superscript"/>
        <sz val="11"/>
        <color rgb="FF000000"/>
        <rFont val="Calibri"/>
        <family val="2"/>
        <charset val="204"/>
      </rPr>
      <t>1)</t>
    </r>
  </si>
  <si>
    <r>
      <t>2017</t>
    </r>
    <r>
      <rPr>
        <b/>
        <vertAlign val="superscript"/>
        <sz val="11"/>
        <color rgb="FF000000"/>
        <rFont val="Calibri"/>
        <family val="2"/>
        <charset val="204"/>
      </rPr>
      <t>1</t>
    </r>
    <r>
      <rPr>
        <b/>
        <i/>
        <vertAlign val="superscript"/>
        <sz val="11"/>
        <color rgb="FF000000"/>
        <rFont val="Calibri"/>
        <family val="2"/>
        <charset val="204"/>
      </rPr>
      <t>)</t>
    </r>
  </si>
  <si>
    <r>
      <t>Июль</t>
    </r>
    <r>
      <rPr>
        <i/>
        <vertAlign val="superscript"/>
        <sz val="11"/>
        <color rgb="FF000000"/>
        <rFont val="Calibri"/>
        <family val="2"/>
        <charset val="204"/>
      </rPr>
      <t>2)</t>
    </r>
  </si>
  <si>
    <t>Изменение численности населения</t>
  </si>
  <si>
    <t>Численность</t>
  </si>
  <si>
    <t>на 1 января 2017 г.</t>
  </si>
  <si>
    <t>Общий(ая) прирост/убыль</t>
  </si>
  <si>
    <t>Темп роста,</t>
  </si>
  <si>
    <t xml:space="preserve"> в процентах</t>
  </si>
  <si>
    <t>17 918,2</t>
  </si>
  <si>
    <t>18 034,4</t>
  </si>
  <si>
    <t>Акмолинская</t>
  </si>
  <si>
    <t>Актюбинская</t>
  </si>
  <si>
    <t>Алматинская</t>
  </si>
  <si>
    <t>1 983,5</t>
  </si>
  <si>
    <t>2 003,1</t>
  </si>
  <si>
    <t>Атырауская</t>
  </si>
  <si>
    <t>Западно-Казахстанская</t>
  </si>
  <si>
    <t>Жамбылская</t>
  </si>
  <si>
    <t>1 115,3</t>
  </si>
  <si>
    <t>1 116,4</t>
  </si>
  <si>
    <t>Карагандинская</t>
  </si>
  <si>
    <t>1 382,7</t>
  </si>
  <si>
    <t>1 381,5</t>
  </si>
  <si>
    <t>Костанайская</t>
  </si>
  <si>
    <t>Кызылординская</t>
  </si>
  <si>
    <t>Мангистауская</t>
  </si>
  <si>
    <t>Южно-Казахстанская</t>
  </si>
  <si>
    <t>2 878,6</t>
  </si>
  <si>
    <t>2 899,9</t>
  </si>
  <si>
    <t>Павлодарская</t>
  </si>
  <si>
    <t>Северо-Казахстанская</t>
  </si>
  <si>
    <t>Восточно-Казахстанская</t>
  </si>
  <si>
    <t>1 389,6</t>
  </si>
  <si>
    <t>1 386,0</t>
  </si>
  <si>
    <t>г. Астана</t>
  </si>
  <si>
    <t>1 006,6</t>
  </si>
  <si>
    <t xml:space="preserve">г. Алматы </t>
  </si>
  <si>
    <t>1 751,4</t>
  </si>
  <si>
    <t>1 772,9</t>
  </si>
  <si>
    <r>
      <t>на 1 июля 2017г.</t>
    </r>
    <r>
      <rPr>
        <vertAlign val="superscript"/>
        <sz val="11"/>
        <color rgb="FF000000"/>
        <rFont val="Calibri"/>
        <family val="2"/>
        <charset val="204"/>
      </rPr>
      <t>*</t>
    </r>
  </si>
  <si>
    <t>Среднемесячная номинальная заработная плата одного работника во ІІ квартале 2017г.</t>
  </si>
  <si>
    <t>Из них на крупных и средних предприятиях</t>
  </si>
  <si>
    <t>тенге</t>
  </si>
  <si>
    <t>ІІ квартал в процентах к</t>
  </si>
  <si>
    <t>предыдущему кварталу</t>
  </si>
  <si>
    <t>cоответствующему кварталу прошлого года</t>
  </si>
  <si>
    <t>соответствующему кварталу прошлого года</t>
  </si>
  <si>
    <t>г. Алматы</t>
  </si>
  <si>
    <t>Вид и направление внешней торговли</t>
  </si>
  <si>
    <t>объем совокупности</t>
  </si>
  <si>
    <t>нижняя гр</t>
  </si>
  <si>
    <t>верхняя гр</t>
  </si>
  <si>
    <t>число групп</t>
  </si>
  <si>
    <t>Определить для стат. данных: единицу совокупности, признак, вид признака (количеств, атрибутивный, ранговый, дискретый, непрерывный), вид совокупности(генеральная, выборка, статическая, динамическая)?</t>
  </si>
  <si>
    <t>Задание 2 Назвать единицу совокупности, признак, вид признака и вид вариации признака. Сформировать ДВР. Рассчитать абсолютные, относительные частоты. Сделать вывод о степени концентрации единиц наблюдения. Преобразовать ДВР в ИВР по формуле Стерджеса, по правилу оптимальности интервалов, если потребуется произвести перегруппировку. Определить наиболее оптимальный вариант формирования ИВР. Определить интервал, в котором наблюдается наиболее высокая концентрация единиц наблюдения.</t>
  </si>
  <si>
    <t>Задание 3. Преобразовать ДВР в интервальный: по формуле Стерджеса, с учетом правила оптимальности интервалов. Выделить интервал, в котором в наибольшей степени сконцентрированы объекты.</t>
  </si>
  <si>
    <t>Возраст струдников предприятия</t>
  </si>
  <si>
    <t>Количество сотрудников</t>
  </si>
  <si>
    <t>Задание 4. По данным заданий 2 и 3 построить графики: полигон распределения частот, гистограмму распределения частот, кумулятивную кривую и кривую концентрации (кривую Лоренца)</t>
  </si>
  <si>
    <t>Индекс цен предприятий-производителей промышленной продукции в июле 2017г.</t>
  </si>
  <si>
    <t>Промышленность-всего</t>
  </si>
  <si>
    <t>Производство</t>
  </si>
  <si>
    <t>продукции</t>
  </si>
  <si>
    <t>К декабрю предыдущего года</t>
  </si>
  <si>
    <t xml:space="preserve">Акмолинская </t>
  </si>
  <si>
    <t>1) Рассчитать простую и взвешенную среднии арифметические ДВР</t>
  </si>
  <si>
    <t>Возраст сотрудника предприятия</t>
  </si>
  <si>
    <t>2) Сколько составит среднее значение, если каждое значение признака увеличиться на 5 процентов; на 5 процентных пункта.</t>
  </si>
  <si>
    <t>4) ДВР представить в виде интервального, рассчитать групповые средние значения и среднее значение в целом в совокупности через групповые средние</t>
  </si>
  <si>
    <t>Предприятие</t>
  </si>
  <si>
    <t>5) рассчитать среднюю фо (фондоотдача) предприятий отрасли по формуле средней гармонической простой</t>
  </si>
  <si>
    <t>Тема 2 "Расчет аналитических средних вариационного ряда"</t>
  </si>
  <si>
    <t>6) произвести группировку предприятий и рассчитать среднюю ФО по формуле средней гармонической взвешенной</t>
  </si>
  <si>
    <t>Список литературы</t>
  </si>
  <si>
    <t>1) Кремер Н.Ш. Эконометрика: Учебник для вузов - М.: Юнити-Дана, 2002</t>
  </si>
  <si>
    <t>2) Красс М.С. Математические методы и модели для магистрантов экономики: учебное пособие - СПб: Питер, 2006</t>
  </si>
  <si>
    <t>3) Гмурман В.Е. Теория вероятностей и математическая статистика: учебное пособие для вузов - Мю: Высшая школа, 2002</t>
  </si>
  <si>
    <t>4) Лукашин Ю.П. Адаптивные методы краткосрочного прогнозирования временных рядов: учебное пособие - М.: Финансы и статистика, 2003</t>
  </si>
  <si>
    <t>5) Льюис К.Д. Методы прогнозирования экономических показателей - М.: Финансы и статистика, 1986</t>
  </si>
  <si>
    <t>6) Минько А.А. Прогнозирование в бизнесе с помощью Excel. Просто как дважды два - М.: Эксмо, 2007</t>
  </si>
  <si>
    <t>7) Айвазян С.А. Прикладная статистика - М.: Финансы и статистика, 1983</t>
  </si>
  <si>
    <t>8) Кремер Н.Ш. Теория вероятностей и математическая статистика - М.: Юнити-Дана, 2007</t>
  </si>
  <si>
    <t>9) Венецкий И.Г. Основные математико-статистические понятия и формулы в экономическом анализе - М.: Статистика, 1974</t>
  </si>
  <si>
    <t>Интервалы темпов роста числа предприятий в отрасли</t>
  </si>
  <si>
    <t>Количество отраслей</t>
  </si>
  <si>
    <t>100 - 105</t>
  </si>
  <si>
    <t>105 - 110</t>
  </si>
  <si>
    <t>110 - 115</t>
  </si>
  <si>
    <t>115-120</t>
  </si>
  <si>
    <t>Значение показателя</t>
  </si>
  <si>
    <t>102, 103, 104, 105</t>
  </si>
  <si>
    <t>106, 106, 106, 108, 108, 109, 110</t>
  </si>
  <si>
    <t>111,111, 111, 112, 112, 113, 113, 114, 114, 115</t>
  </si>
  <si>
    <t>118, 118, 120</t>
  </si>
  <si>
    <t>Тема 3 "Средние величины и показатели вариации"</t>
  </si>
  <si>
    <t>1)Рассчитать средний темп роста денежного агрегата по формуле средней геометрической (по всем трем формулам) и вычислить среднегодовой прирост денежного агрегата</t>
  </si>
  <si>
    <t>2) Рассчитать средний темп роста числа предприятий в отрасли по формуле средней геометрической через групповые средние геометрические</t>
  </si>
  <si>
    <t>3) Рассчитать медиану по ДВР</t>
  </si>
  <si>
    <t>4) рассчитать медиану по ИВР</t>
  </si>
  <si>
    <t>5) рассчитать моду по ДВР и ИВР</t>
  </si>
  <si>
    <t>6) Рассчитать среднее линейное отклонение по ДВР и по ИВР и размах вариации</t>
  </si>
  <si>
    <t>7) рассчитать дисперсию и среднее квадратическое отклонение</t>
  </si>
  <si>
    <t>8) провести внутригрупповой анализ вариации и сделать вывод о корректности интервалов</t>
  </si>
  <si>
    <t>частота</t>
  </si>
  <si>
    <t>Регион</t>
  </si>
  <si>
    <t>количество групп</t>
  </si>
  <si>
    <t>макс икс</t>
  </si>
  <si>
    <t>мин икс</t>
  </si>
  <si>
    <t>тыс. голов</t>
  </si>
  <si>
    <t xml:space="preserve">Группировка регионов по количеству голов коров кх и фх </t>
  </si>
  <si>
    <t>Группа</t>
  </si>
  <si>
    <t>Интервалы по количеству голов</t>
  </si>
  <si>
    <t>Интервальная частота, количество регионов</t>
  </si>
  <si>
    <t>по Стерджесу</t>
  </si>
  <si>
    <t>по правилу оптимальности</t>
  </si>
  <si>
    <t>количество вариант</t>
  </si>
  <si>
    <t>по 2 варианты</t>
  </si>
  <si>
    <t>Количество голов коров крестьянских и фермерских хозяйств, тыс. голов (икс)</t>
  </si>
  <si>
    <t>Надой молока, тыс. тонн (игрик)</t>
  </si>
  <si>
    <t>Дисперсионный анализ по игрику (количество надоя)</t>
  </si>
  <si>
    <t>средняя групповая</t>
  </si>
  <si>
    <t>внутригрупповая дисп</t>
  </si>
  <si>
    <t>средняя внутригрупповая</t>
  </si>
  <si>
    <t>межгрупповая</t>
  </si>
  <si>
    <t>общая средняя</t>
  </si>
  <si>
    <t>Группировка этими двумя методами не позволяет получить однородные группы, т.е. объединить схожие объекты</t>
  </si>
  <si>
    <t>Объект</t>
  </si>
  <si>
    <t>Если изначально объекты расположить по возрастанию группировочного признака при расчете эвклидово рассточния, то дальше проще отбирать более схожие объекты</t>
  </si>
  <si>
    <t>Для оценки вариации внутри группы, нужно рассчитывать не только внутригрупповую дисперсию, но и дисперсию значений на границах интервалов</t>
  </si>
  <si>
    <t>формируем 5 групп согласно формуле Стерджеса</t>
  </si>
  <si>
    <t>Группы</t>
  </si>
  <si>
    <t>Объекты</t>
  </si>
  <si>
    <t>минимум 1</t>
  </si>
  <si>
    <t>минимум 2</t>
  </si>
  <si>
    <t>формируем первую группу</t>
  </si>
  <si>
    <t>остаток 1 и 14 объекты</t>
  </si>
  <si>
    <t>При такой группировке интервалы не могут быть сформированы, мы получаем просто группы схожих объектов по фаткору икс</t>
  </si>
  <si>
    <t>Дисперсионный анализ по игрику (надою молока)</t>
  </si>
  <si>
    <t>Схожие группы по иксу (по количеству голов коров)</t>
  </si>
  <si>
    <t>надой</t>
  </si>
  <si>
    <t>средний надой в группе</t>
  </si>
  <si>
    <t>средняя внутригрупповая дисперсия</t>
  </si>
  <si>
    <t>количество объектов в группе (абсолютная частота)</t>
  </si>
  <si>
    <t>относительная частота, вес</t>
  </si>
  <si>
    <t>Итого</t>
  </si>
  <si>
    <t>Общая средняя</t>
  </si>
  <si>
    <t>доля в общей дисперсии</t>
  </si>
  <si>
    <t>средней внутригрупповой</t>
  </si>
  <si>
    <t>межгрупповой</t>
  </si>
  <si>
    <t>Общая дисперсия</t>
  </si>
  <si>
    <t>Тема 4: "Структурные средние. Показатели вариации. Группировка и дисперсионный анализ как инструмент корреляционного анализа"</t>
  </si>
  <si>
    <t>Задание 1. Рассчитать квартили по дискретному и интервальному ряду</t>
  </si>
  <si>
    <t>Интервалы производительности труда на предприятии, млн. тенге/чел</t>
  </si>
  <si>
    <t>Число предприятий</t>
  </si>
  <si>
    <t>Задание 2. Рассчитать показатели вариации возраста сотрудников предприятия. Исх. данные в задании 1.</t>
  </si>
  <si>
    <t>Задание 3. Оценить на сколько распределение числа сотрудников предприятия по возрасту близко к нормальному (симметричному распределению).</t>
  </si>
  <si>
    <t>г.Астана</t>
  </si>
  <si>
    <t>г.Алматы</t>
  </si>
  <si>
    <t>Индекс потребительских цен на товары и услуги в июле 2017 года к предыдущему месяцу</t>
  </si>
  <si>
    <t>Величина прожиточного минимума, тенге</t>
  </si>
  <si>
    <t>Задание 4. Провести группировку регионов по признаку икс (индекс цен), а дисперсионный анализ по признаку игрик (прожиточный мин) и выявить влияние икс на игрик</t>
  </si>
  <si>
    <t>Пример группировки объектов в схожие группы и проведения дисперсионного анализа</t>
  </si>
  <si>
    <t>1 Сгруппируем регионы по количеству коров (по формуле Стерджеса и по правилу 20 % вариант)</t>
  </si>
  <si>
    <t>2 Сгруппируем с помощью расчета меры сходства двух объектов - эвклидово расстояния</t>
  </si>
  <si>
    <t>Итоговая таблица групп схожих объектов</t>
  </si>
  <si>
    <t>Убираем из рассмотрения 4, 5 и 6 объекты и формируем вторую группу</t>
  </si>
  <si>
    <t>Убираем из рассмотрения 2, 3 и 7 объекты и формируем третью группу</t>
  </si>
  <si>
    <t>убираем из рассмотрения 11, 12 и 13 объекты и формируем четвертую группу</t>
  </si>
  <si>
    <t>млн. тенге</t>
  </si>
  <si>
    <t xml:space="preserve">Предоставление прочих видов услуг </t>
  </si>
  <si>
    <t>Сумма</t>
  </si>
  <si>
    <t>ВДС, январь-март</t>
  </si>
  <si>
    <t>Доля, % (игрик)</t>
  </si>
  <si>
    <t>Число активных юридических лиц в этой сфере (икс)</t>
  </si>
  <si>
    <t>XY</t>
  </si>
  <si>
    <r>
      <t>X</t>
    </r>
    <r>
      <rPr>
        <vertAlign val="superscript"/>
        <sz val="11"/>
        <color theme="1"/>
        <rFont val="Times New Roman"/>
        <family val="1"/>
        <charset val="204"/>
      </rPr>
      <t>2</t>
    </r>
  </si>
  <si>
    <t>Сфера деятельности</t>
  </si>
  <si>
    <t>Тема 5 "Прогноз с помощью парной линейной модели"</t>
  </si>
  <si>
    <t>Пример построения прогноза вручную</t>
  </si>
  <si>
    <t>Регрессионная статистика</t>
  </si>
  <si>
    <t>Множественный R</t>
  </si>
  <si>
    <t>R-квадрат</t>
  </si>
  <si>
    <t>Нормированный R-квадрат</t>
  </si>
  <si>
    <t>Стандартная ошибка</t>
  </si>
  <si>
    <t>Наблюдения</t>
  </si>
  <si>
    <t>Дисперсионный анализ</t>
  </si>
  <si>
    <t>Регрессия</t>
  </si>
  <si>
    <t>Остаток</t>
  </si>
  <si>
    <t>Y-пересечение</t>
  </si>
  <si>
    <t>df</t>
  </si>
  <si>
    <t>SS</t>
  </si>
  <si>
    <t>MS</t>
  </si>
  <si>
    <t>F</t>
  </si>
  <si>
    <t>Значимость F</t>
  </si>
  <si>
    <t>Коэффициенты</t>
  </si>
  <si>
    <t>t-статистика</t>
  </si>
  <si>
    <t>P-Значение</t>
  </si>
  <si>
    <t>Нижние 95%</t>
  </si>
  <si>
    <t>Верхние 95%</t>
  </si>
  <si>
    <t>Нижние 95,0%</t>
  </si>
  <si>
    <t>Верхние 95,0%</t>
  </si>
  <si>
    <t>Переменная X 1</t>
  </si>
  <si>
    <t>Установка пакета Анализа данных:</t>
  </si>
  <si>
    <t>1) зайти в падающее меню в верхней строке программы</t>
  </si>
  <si>
    <t>2) другие команды</t>
  </si>
  <si>
    <t>3)  надстройки</t>
  </si>
  <si>
    <t>4) имя надстройки: анализ данных</t>
  </si>
  <si>
    <t>5) управление: надстройки Эксель</t>
  </si>
  <si>
    <t>6) перейти</t>
  </si>
  <si>
    <t>7) галочку поставить в Пакет анализа</t>
  </si>
  <si>
    <t>8) Ок</t>
  </si>
  <si>
    <t>9) Пакет Анализ данных размещен будет в меню Данные</t>
  </si>
  <si>
    <t>Пример построения прогноза через Пакет анализа, функция Регрессия</t>
  </si>
  <si>
    <t>Теоретические вопросы для первого рейтинга</t>
  </si>
  <si>
    <t>1) Что является предметом математической статистики?</t>
  </si>
  <si>
    <t>2) Привести примеры статистической совокупности.</t>
  </si>
  <si>
    <t>3) К какому виду (генеральная или выборка) можно отнести следующие совокупности:</t>
  </si>
  <si>
    <t xml:space="preserve"> - все мужское население страны</t>
  </si>
  <si>
    <t xml:space="preserve"> - все предприятия отрасли</t>
  </si>
  <si>
    <t xml:space="preserve"> - 30 % мужского населения страны</t>
  </si>
  <si>
    <t xml:space="preserve"> - все регионы страны</t>
  </si>
  <si>
    <t xml:space="preserve"> - все отрасли страны</t>
  </si>
  <si>
    <t xml:space="preserve"> - все промышленные предприятия</t>
  </si>
  <si>
    <t xml:space="preserve"> - 10% промышленных предприятий</t>
  </si>
  <si>
    <t xml:space="preserve"> - все наименования продукции</t>
  </si>
  <si>
    <t xml:space="preserve"> - продукция высшего качества</t>
  </si>
  <si>
    <t>4) Изучается производительность труда на предприятиях машиностроения. Назвать: совокупность, единицу совокупности и признак, вид признака.</t>
  </si>
  <si>
    <t>5) Изучается наличие высшего образования сотрудников предприятия. Назвать: совокупность, единицу совокупности и признак, вид признака.</t>
  </si>
  <si>
    <t>6) Чем варианта отличается от изучаемого признака?</t>
  </si>
  <si>
    <t>7) Чем отличается накопленная частота вариационного ряда от абсолютной частоты?</t>
  </si>
  <si>
    <t>8) Что показывают частоты вариационного ряда?</t>
  </si>
  <si>
    <t xml:space="preserve">9) Что представляет собой вариационный ряд? </t>
  </si>
  <si>
    <t>10) С какой целью дискретный вариационный ряд преобразуют в интервальный?</t>
  </si>
  <si>
    <t>11) От какого фактора зависит число интервалов признака, рассчитанное по формуле Стерджеса?</t>
  </si>
  <si>
    <t>12) Как иначе можно назвать вариационный ряд?</t>
  </si>
  <si>
    <t>13) В чем состоит недостаток формирования интервалов по формуле Стерджеса?</t>
  </si>
  <si>
    <t>14) В каком графике отражаются варианты и накопленные частоты?</t>
  </si>
  <si>
    <t>16) Для чего применяются средние величины?</t>
  </si>
  <si>
    <t>15) В каком графике отражаются накопленные относительные частоты и наколпенный относительный признак?</t>
  </si>
  <si>
    <t>17) Чем отличаются простые средние от взвешенных?</t>
  </si>
  <si>
    <t>18) Как иначе называется средняя арифметическая и в каких случаях расчет средней величины производится по формуле средней арифметической?</t>
  </si>
  <si>
    <t>19) Как иначе называется средняя гармоническая и в каких случаях расчет среднего значения производится по формуле средней гармонической?</t>
  </si>
  <si>
    <t>20) Как иначе называется средняя геометрическая, для каких целей она применяется. Что необходимо знать для расчета среднего темпа роста показателя по самому простому варианту формулы?</t>
  </si>
  <si>
    <t>21) Может ли третий квартиль быть больше первого?</t>
  </si>
  <si>
    <t>22) Может ли медиана быть меньше первого квартиля?</t>
  </si>
  <si>
    <t>23) Медианное значение уровня безработицы в регионах Казахстана составляет 6%. Какой вывод?</t>
  </si>
  <si>
    <t>24) Медианное значение уровня безработицы в регионах Казахстана составляет 6 %, квартиль первый - 4%, квартиль третий - 7%. Какой вывод?</t>
  </si>
  <si>
    <t>25) Назвать функции в экселе для расчета: среднего арифметического, среднего гармонического, среднего геометрического, среднего линейного отклонения, среднего квадратического отклонения, дисперсии, построения парной линейной математической модели данных.</t>
  </si>
  <si>
    <t>26) Даны две совокупности (студенческие группы). Отношение среднего квадратического отконения изучаемого признака (успеваемости) к среднему линейному отклонению составляет: для первой группы 1.3, а для второй группы - 1.4. Какая из двух групп студентов ближе всего к нормальному рапределению студентов по успеваемости?</t>
  </si>
  <si>
    <t>27) Предположим студенты группы распределены нормально по успеваемости. Как схематично будет выглядеть график их распределения по успеваемости?</t>
  </si>
  <si>
    <t>28) При изучении вариации признака в совокупности что считается центром совокупности, центральным его значением?</t>
  </si>
  <si>
    <t>29) Дисперсия темпа инфляции в Казахстане составляет 22 000, а в Китае - 15 000. В какаой стране регионы в большей степени различаются по данному показателю?</t>
  </si>
  <si>
    <t>30) В Казахстане в 2017 году Коэффициент вариации темпа инфляции относительно среднего значения по Казахстану составляет 30%. Как сильно регионы отличаются по данному признаку?</t>
  </si>
  <si>
    <t>31) Могут ли показатели вариации бять использованы для оценки корректности разбивки признака на интервалы?</t>
  </si>
  <si>
    <t>32) Что необходимо для построения формулы эконометрическим методом с целью построения прогноза показателя?</t>
  </si>
  <si>
    <t>33) Чем отличаются парные мат модели от множественных?</t>
  </si>
  <si>
    <t>34) В каком случае зависимость прогнозируемой величины от фактора выражается в виде мат модели линейного вида?</t>
  </si>
  <si>
    <t>35) Что такое остаток моделирования?</t>
  </si>
  <si>
    <t>36) В чем суть метода наименьших квадратов и для чего он используется?</t>
  </si>
  <si>
    <t>37) Что такое аппроксимация статистических данных?</t>
  </si>
  <si>
    <t>38) Чем отличаются факторы первого порядка от факторов второго порядка?</t>
  </si>
  <si>
    <t>39) В чем недостаток включения в мат модель прогнозируемой величины сразу всех факторов последнего порядка (конечных факторов)?</t>
  </si>
  <si>
    <t>40) В каком случае прогноз величины строиться по формуле, получаемой методом эконометрического моделирования?</t>
  </si>
  <si>
    <t>Год</t>
  </si>
  <si>
    <t>ВВП, долларов США на человека</t>
  </si>
  <si>
    <t>нечетное число периодов</t>
  </si>
  <si>
    <t>3 периода</t>
  </si>
  <si>
    <t>5 периодов</t>
  </si>
  <si>
    <t>четное число периодов</t>
  </si>
  <si>
    <t>Порядковый номер периода</t>
  </si>
  <si>
    <t>Оосбенности сглаживания с помощью невзвешенных скользящих средних с нечетным числом периодов в интервале сглаживания:</t>
  </si>
  <si>
    <t xml:space="preserve"> - средние значения центрированы, т.е. их можно привязать к конркетному периоду (к центру) </t>
  </si>
  <si>
    <t xml:space="preserve"> - позволяет более точно выявить основную тенденцию в ряду динамики и как следствие выбрать тип тренда для математического описания этой тенденции</t>
  </si>
  <si>
    <t xml:space="preserve"> - невзвешенные средние означает, что расчет ведется по простой средней арияметической и каждому значению в интервале сглаживания дается одинаковый вес</t>
  </si>
  <si>
    <t xml:space="preserve"> - чем длиньше интервал сглаживания, тем больше укорачивается ряд динамики, но при этом тем более плавная линия получается, которая все ближе к некой стандартной линии</t>
  </si>
  <si>
    <t xml:space="preserve"> - прогноз по сглаженным данным непосредственно построить нельзя, но эти данные можно использовать для дальнейшего анализа и построения уравнения тренда и рассчитывать прогноз по тренду\</t>
  </si>
  <si>
    <t>4 периода</t>
  </si>
  <si>
    <t>6 периодов</t>
  </si>
  <si>
    <t>не центрированы</t>
  </si>
  <si>
    <t>центрированы</t>
  </si>
  <si>
    <t>не центированы</t>
  </si>
  <si>
    <t>Метод 1 "Метод невзвешенных скользящих средних с четным и нечетным числом значений"</t>
  </si>
  <si>
    <t>Оосбенности сглаживания с помощью невзвешенных скользящих средних с четным  числом периодов в интервале сглаживания:</t>
  </si>
  <si>
    <t xml:space="preserve"> - позволяет выявить тенденцию</t>
  </si>
  <si>
    <t xml:space="preserve"> - необходимо центирование полученного значения, т.е. дальнейшее его усреднение, чтобы привязать к конкретному периоду времени</t>
  </si>
  <si>
    <t>Метод 2 "Метод взвешенных скользящих средних с четным и нечетным числом значений"</t>
  </si>
  <si>
    <t>Скользящая средняя рассчитывается как средняя арифметическая взвешенная</t>
  </si>
  <si>
    <t xml:space="preserve"> - в итоге мы получаем среднюю арифметическую взвешенную и число периодов, задействованных в расчетах на 1 боьше, чем длина интервала сглаживания.</t>
  </si>
  <si>
    <t>Техника определения весов - это многократно повторяющееся сглаживание скользящей средней с перидом сглаживания равным 2. Скользящее среднее здесь среднее арифметическое простое</t>
  </si>
  <si>
    <t>Длина временного интервала сглаживания</t>
  </si>
  <si>
    <t>не центрир</t>
  </si>
  <si>
    <t>центрирован</t>
  </si>
  <si>
    <t>центриров</t>
  </si>
  <si>
    <t>не центирован</t>
  </si>
  <si>
    <t>центирован</t>
  </si>
  <si>
    <t>Особенности сглаживания взвешенными скользящими средними:</t>
  </si>
  <si>
    <t xml:space="preserve"> - позволяет выявить тенденцию временного ряда</t>
  </si>
  <si>
    <t xml:space="preserve"> - с нечетным числом периодов - центрированы, с четным - требуется центрирование</t>
  </si>
  <si>
    <t xml:space="preserve"> - чем ближе значение к центру интервала сглаживания, тем вес больше</t>
  </si>
  <si>
    <t xml:space="preserve"> - совпадение значений</t>
  </si>
  <si>
    <t>Построение тренда методом наименьших квадратов</t>
  </si>
  <si>
    <t>Прогноз на 2013 год (21 период)</t>
  </si>
  <si>
    <t>Построение тренда методом его деления на несколько равных частей</t>
  </si>
  <si>
    <t>Тема 7 "Механическое сглаживание рядов динамики  как подход к выявлению тенденции и построение тренда для прогноза"</t>
  </si>
  <si>
    <t>Область</t>
  </si>
  <si>
    <t>Уровень безработицы, %</t>
  </si>
  <si>
    <t xml:space="preserve">  - линейной</t>
  </si>
  <si>
    <t xml:space="preserve">  - гиперболической</t>
  </si>
  <si>
    <t xml:space="preserve">  - степенной</t>
  </si>
  <si>
    <t xml:space="preserve">  - показательной</t>
  </si>
  <si>
    <t xml:space="preserve">  - логарифмической</t>
  </si>
  <si>
    <t xml:space="preserve">  - обратной</t>
  </si>
  <si>
    <t xml:space="preserve">  - полинома второй степени</t>
  </si>
  <si>
    <t>Всего зарегестрировано юридических лиц</t>
  </si>
  <si>
    <t>икс</t>
  </si>
  <si>
    <t>Задание: выразить количество зарегестированных безработных от количества юридических лиц  в виде следуящих парных моделей:</t>
  </si>
  <si>
    <t>сумма</t>
  </si>
  <si>
    <t>1/x</t>
  </si>
  <si>
    <t>1/y</t>
  </si>
  <si>
    <t>x</t>
  </si>
  <si>
    <r>
      <t>x</t>
    </r>
    <r>
      <rPr>
        <vertAlign val="superscript"/>
        <sz val="11"/>
        <color theme="1"/>
        <rFont val="Calibri"/>
        <family val="2"/>
        <charset val="204"/>
        <scheme val="minor"/>
      </rPr>
      <t>2</t>
    </r>
  </si>
  <si>
    <t>logx</t>
  </si>
  <si>
    <t>logy</t>
  </si>
  <si>
    <t>lnx</t>
  </si>
  <si>
    <t>игрик - прогнозируемая величина</t>
  </si>
  <si>
    <t>Поле коореляции уровня безработицы от количества предприятий в области</t>
  </si>
  <si>
    <t>1) Построение мат модели лиейного вида</t>
  </si>
  <si>
    <t>В окне функции Регрессия (Пакет анализа) вводятся исходные данные колонок 2 и 3</t>
  </si>
  <si>
    <t>ВЫВОД ИТОГОВ</t>
  </si>
  <si>
    <t>Красным выделены рассчитанные с помощью системы нормальных уравнений параметры для парной линейной модели</t>
  </si>
  <si>
    <t>Записываем модель: Y = -0,000008X+1,33</t>
  </si>
  <si>
    <t>2) Построение мат модели гиперболического вида</t>
  </si>
  <si>
    <t>В окне функции Регрессия (Пакет анализа) вводятся исходные данные колонок 2 и 4</t>
  </si>
  <si>
    <t>Красным выделены рассчитанные с помощью системы нормальных уравнений параметры для парной гиперболической модели</t>
  </si>
  <si>
    <t>Записываем модель: Y = 7418/x + 0,654</t>
  </si>
  <si>
    <t>3) Построение мат модели обратного вида</t>
  </si>
  <si>
    <t>В окне функции Регрессия (Пакет анализа) вводятся исходные данные колонок 3 и 5</t>
  </si>
  <si>
    <t>Красным выделены рассчитанные с помощью системы нормальных уравнений параметры для парной обратной модели</t>
  </si>
  <si>
    <t>Записываем модель: Y = 1/(0,000011x+0,828)</t>
  </si>
  <si>
    <t>4) Построение мат модели полинома второй степени вида</t>
  </si>
  <si>
    <t>В окне функции Регрессия (Пакет анализа) вводятся исходные данные колонок 2 и 6,7</t>
  </si>
  <si>
    <t>Красным выделены рассчитанные с помощью системы нормальных уравнений параметры для парной модели полинома второй степени</t>
  </si>
  <si>
    <r>
      <t>Записываем модель: Y = 0,000000000061X</t>
    </r>
    <r>
      <rPr>
        <vertAlign val="superscript"/>
        <sz val="11"/>
        <color theme="1"/>
        <rFont val="Calibri"/>
        <family val="2"/>
        <charset val="204"/>
        <scheme val="minor"/>
      </rPr>
      <t>2</t>
    </r>
    <r>
      <rPr>
        <sz val="11"/>
        <color theme="1"/>
        <rFont val="Calibri"/>
        <family val="2"/>
        <charset val="204"/>
        <scheme val="minor"/>
      </rPr>
      <t xml:space="preserve"> - 0,0000152X+1,426</t>
    </r>
  </si>
  <si>
    <t>5) Построение мат модели степенного вида</t>
  </si>
  <si>
    <t>В окне функции Регрессия (Пакет анализа) вводятся исходные данные колонок 8 и 9</t>
  </si>
  <si>
    <t>параметр b = -0,34</t>
  </si>
  <si>
    <r>
      <t>Записываем модель: Y = 28,18*X</t>
    </r>
    <r>
      <rPr>
        <vertAlign val="superscript"/>
        <sz val="11"/>
        <color theme="1"/>
        <rFont val="Calibri"/>
        <family val="2"/>
        <charset val="204"/>
        <scheme val="minor"/>
      </rPr>
      <t>-0,34</t>
    </r>
  </si>
  <si>
    <t>6) Построение мат модели показательного вида</t>
  </si>
  <si>
    <t>В окне функции Регрессия (Пакет анализа) вводятся исходные данные колонок 3 и 9</t>
  </si>
  <si>
    <t>параметр а = 10^1,45</t>
  </si>
  <si>
    <r>
      <t>параметр b = 10^</t>
    </r>
    <r>
      <rPr>
        <vertAlign val="superscript"/>
        <sz val="11"/>
        <color theme="1"/>
        <rFont val="Calibri"/>
        <family val="2"/>
        <charset val="204"/>
        <scheme val="minor"/>
      </rPr>
      <t>-0,00000381</t>
    </r>
  </si>
  <si>
    <t>параметр а = 10^0,96</t>
  </si>
  <si>
    <r>
      <t>Записываем модель: Y = 9,12*0,99</t>
    </r>
    <r>
      <rPr>
        <vertAlign val="superscript"/>
        <sz val="11"/>
        <color theme="1"/>
        <rFont val="Calibri"/>
        <family val="2"/>
        <charset val="204"/>
        <scheme val="minor"/>
      </rPr>
      <t>X</t>
    </r>
  </si>
  <si>
    <t>6.1. Учебный пример построения парных моделей для прогноза</t>
  </si>
  <si>
    <t xml:space="preserve">  И на основе показателей качества выбрать наиболее точную модель для построения прогноза количества безработных</t>
  </si>
  <si>
    <t>7) Построение мат модели логарифмического вида</t>
  </si>
  <si>
    <t>В окне функции Регрессия (Пакет анализа) вводятся исходные данные колонок 2 и 10</t>
  </si>
  <si>
    <t>Красным выделены рассчитанные с помощью системы нормальных уравнений параметры для парной модели логарифмического вида</t>
  </si>
  <si>
    <t>Записываем модель: Y = -0,325LN + 4,319</t>
  </si>
  <si>
    <t>Выбор наиболее точной модели для построения прогноза на основе коэффициента детерминации и стандартной ошибки моделирования</t>
  </si>
  <si>
    <t>Вида модели</t>
  </si>
  <si>
    <t>Коэффициент детерминации</t>
  </si>
  <si>
    <t>линейная</t>
  </si>
  <si>
    <t>гиперболическая</t>
  </si>
  <si>
    <t>обратная</t>
  </si>
  <si>
    <t>полином второй степени</t>
  </si>
  <si>
    <t>показательная</t>
  </si>
  <si>
    <t>степенная</t>
  </si>
  <si>
    <t>логарифмическая</t>
  </si>
  <si>
    <t>Стандартная ошибка моделирования, %</t>
  </si>
  <si>
    <t>Парный коэффициент корреляции</t>
  </si>
  <si>
    <t>Парный ко-ент корреляции</t>
  </si>
  <si>
    <t>К-ент детерминации</t>
  </si>
  <si>
    <t>Парный к-ент корреляции</t>
  </si>
  <si>
    <t>Свободный параметр</t>
  </si>
  <si>
    <t>Параметр при икс</t>
  </si>
  <si>
    <t>Параметр при 1/x</t>
  </si>
  <si>
    <t>Параметр при x</t>
  </si>
  <si>
    <r>
      <t>Параметр при x</t>
    </r>
    <r>
      <rPr>
        <vertAlign val="superscript"/>
        <sz val="11"/>
        <color theme="1"/>
        <rFont val="Calibri"/>
        <family val="2"/>
        <charset val="204"/>
        <scheme val="minor"/>
      </rPr>
      <t>2</t>
    </r>
  </si>
  <si>
    <t>Параметр b</t>
  </si>
  <si>
    <t>Log a</t>
  </si>
  <si>
    <t>Log b</t>
  </si>
  <si>
    <t>Параметр при LNx</t>
  </si>
  <si>
    <t>наиболее оптимальные значения показателей качества модели: коэффициент детерминации выше всех остальных и показывает, что вариация уровня безработицы на 36 процентов обусловлена вариацией количества предприятий. Ошибка моделирования не самая низкая, но и не самая высокая. Но чем ниже, тем лучше.</t>
  </si>
  <si>
    <t>Самая оптимальная обратная модель, но прогноз безработицы по ней считать не совсем верно, тк коэффициент детермиании низкий всего 0.36 от 1, что говорит о том, что на 36% игрик зависит от данного икса, а на 64 % от других не рассматриваемых факторов. Таким образом, для построения дстоверного прогноза необходимо расшиить количество факторов в модели и построить многофакторную модель для построения прогноза.</t>
  </si>
  <si>
    <t>Метод 4 Метод Холта</t>
  </si>
  <si>
    <t>Трендовая составляющая</t>
  </si>
  <si>
    <t>Сглаженные данные</t>
  </si>
  <si>
    <t>Альфа</t>
  </si>
  <si>
    <t>Бетта</t>
  </si>
  <si>
    <t>Построение прогноза методом экстраполяции функции прогнозирования</t>
  </si>
  <si>
    <t>метод Холта: расчет весов при разных коэффициента сглаживания</t>
  </si>
  <si>
    <t>Порядковый номер временного периода</t>
  </si>
  <si>
    <t>Вес от значения</t>
  </si>
  <si>
    <t>альфа</t>
  </si>
  <si>
    <t>бэтта</t>
  </si>
  <si>
    <t xml:space="preserve"> gvc</t>
  </si>
  <si>
    <t>Метод 3 Сглаживание временного ряда экпоненциальными средними</t>
  </si>
  <si>
    <t>Сглаживание экспоненциальными средними</t>
  </si>
  <si>
    <t>коэффициент сглаживания</t>
  </si>
  <si>
    <t>Сравнение сглаженных рядов при разных значениях коэффициента альфа</t>
  </si>
  <si>
    <t>Сравнение сглаженных рядов скользящими средними взвешенными и невзвешенными</t>
  </si>
  <si>
    <t>длина интервала сглаживания три периода</t>
  </si>
  <si>
    <t>длина интервала сглаживания четыре периода</t>
  </si>
  <si>
    <t>Сравнение взвешенных, невзвешенных скользящих и экспоненциальных при сильном сглаживании</t>
  </si>
  <si>
    <t>Построение прогноза с помощью экспоненциальных средних</t>
  </si>
  <si>
    <t>Коэффициенты Альфа</t>
  </si>
  <si>
    <t>прогнозные значения</t>
  </si>
  <si>
    <t>прогноз на 2013 год</t>
  </si>
  <si>
    <t>Тема 6 "Построение функций (мат моделей) прогноза в виде парных моделей с одним фактором</t>
  </si>
  <si>
    <t>Тема 8 "Построение функции прогнозирования с фактором t"</t>
  </si>
  <si>
    <t>2) в каждом периоде может действовать разный по количеству и набору состав факторов</t>
  </si>
  <si>
    <t xml:space="preserve"> - через уравнение тренда, предварительно сгладив ряд для нивелирования воздвействия случайных факторов, без выделения циклической компоненты, тк визуально она не прослеживается</t>
  </si>
  <si>
    <t>5) скорее всего в периоды снижения действуют случайные факторы или появляются новые трендовые факторы, ткт это падение наблюдается не через равные интервалы времени и с разной продолжительностью</t>
  </si>
  <si>
    <t>1 Вариант - прогноз путем аппроксимации тренда</t>
  </si>
  <si>
    <t>1)периодичности, цикличности не прослеживаенся, тк не наблюдается одинаковых изменений через равные интервалы и к тому же в большинсте периодов наблюдался рост</t>
  </si>
  <si>
    <t>6) ВВП бесконечно снижаться на может, не может быть постоянное падение экономики</t>
  </si>
  <si>
    <t>7) Чем больше коэффициент сглаживания, тем значит мы в считаем, что велико действие случайных, не постоянных факторов.</t>
  </si>
  <si>
    <t>1.2 По сглаженным данным построим уравнение тренда</t>
  </si>
  <si>
    <t xml:space="preserve"> - через экпоненциальное сглаживание и методом Холта</t>
  </si>
  <si>
    <t>интервал сглаживания = 3</t>
  </si>
  <si>
    <t>3) в экономических процессах случайные факторы действуют всегда, поэтому сгладить ряд целесообрзно, чтобы пронаблюдать примерные значения без воздействия случайных факторов</t>
  </si>
  <si>
    <t xml:space="preserve">4) здесь три  варианта построения прогноза: </t>
  </si>
  <si>
    <t>8) Экспоненциальные средние лучше использовать для случая, когда нужно выделить циклическую компоненту, т.е. когда наблюдается цикличность, тк сглаженный ряд представляет собой линию, значительно отстоящую от исходных точек. В  данном ряду цикличности не наблюдается.</t>
  </si>
  <si>
    <t>1.1 Сгладим ряд  с помощью скользящих средних, т.к. если применить экпоненциальное сглаживание, то линия будет расположена ниже во всех точках, а это означает, что случайные факторы в каждом периоде действуют или что, действуют циклические факторы. Интервал сглаживания равен трем,  чтобы не выпало много точек для дальнейшего анализа</t>
  </si>
  <si>
    <t>Предполагаемые для прогноза уравнения тренда:</t>
  </si>
  <si>
    <t xml:space="preserve"> - полином второй степени (степень приближения к сглаженным точкам очень высокая, но прогноз нереалитичный, т.к. при наблюдающейся в последние периоды тенденции к снижению, прогноз на рост, причем еще в большей степени, чем в последние периоды роста)</t>
  </si>
  <si>
    <t>Прогноз на 2017 год</t>
  </si>
  <si>
    <t>прогноз не реалистичный</t>
  </si>
  <si>
    <t xml:space="preserve"> - степенной тренд</t>
  </si>
  <si>
    <t>8) Прогноз должен быть реалистичным, т.е. на рост, тк в большинстве периодов наблюдался рост. Если бы выявили цикличность, то прогноз можно было бы строить на снижение. Но рост также должен быть реалистичным, не выше, чем в последней точке роста.</t>
  </si>
  <si>
    <t>2 Вариант - прогноз методом среднего абсолютного прироста</t>
  </si>
  <si>
    <t>Абсолютный прирост,  долларов США на человека</t>
  </si>
  <si>
    <t>Средний абсолютный прирост</t>
  </si>
  <si>
    <t>более реалистичный, чем по полиному второй степени</t>
  </si>
  <si>
    <t>3 Вариант - Прогноз экпоненциальным сглаживанием</t>
  </si>
  <si>
    <t>Коэффициенты сглаживания и ошибки прогноза</t>
  </si>
  <si>
    <t>ошибка</t>
  </si>
  <si>
    <t>модуль ошибки</t>
  </si>
  <si>
    <t>более реалистичный прогноз</t>
  </si>
  <si>
    <t>4 Вариант - Прогноз с помощью скользящего среднего</t>
  </si>
  <si>
    <t>Длина интервала сглаживания, периодов</t>
  </si>
  <si>
    <t>по модулю</t>
  </si>
  <si>
    <t>более реальный прогноз</t>
  </si>
  <si>
    <t>Сглаженные значения</t>
  </si>
  <si>
    <t>бетта</t>
  </si>
  <si>
    <t>5 Вариант - Метод Холта с элементами рекурсивного прогнозирования</t>
  </si>
  <si>
    <t>Прогноз на тестовые периоды</t>
  </si>
  <si>
    <t>Трендовая компонента (некий среднегодовой прирост)</t>
  </si>
  <si>
    <t>Ошибка прогноза</t>
  </si>
  <si>
    <t>Модуль</t>
  </si>
  <si>
    <t>в среднем</t>
  </si>
  <si>
    <t>Лучше оставить первые альфа и бэтта</t>
  </si>
  <si>
    <t>прогноз на 2017 год</t>
  </si>
  <si>
    <t>Итоговая таблица построения прогноза ВВП по временному ряду с фактором t</t>
  </si>
  <si>
    <t>Название метода</t>
  </si>
  <si>
    <t>через построение функции прогнозирования</t>
  </si>
  <si>
    <t>через экспоненциальное сглаживание</t>
  </si>
  <si>
    <t>через средний абсолютный прирост</t>
  </si>
  <si>
    <t>через скользящие средние</t>
  </si>
  <si>
    <t>метод Холта</t>
  </si>
  <si>
    <t>Вес метода (степень доверия результатам)</t>
  </si>
  <si>
    <t>Результат (прогнозное значение)</t>
  </si>
  <si>
    <t>Достоинства и недостатки метода</t>
  </si>
  <si>
    <t>Номер</t>
  </si>
  <si>
    <t>Среднее прогнозное значение</t>
  </si>
  <si>
    <t>Прочие методы построения прогноза</t>
  </si>
  <si>
    <t>Месяц</t>
  </si>
  <si>
    <t xml:space="preserve">№ 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</si>
  <si>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</si>
  <si>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</si>
  <si>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</si>
  <si>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</si>
  <si>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</si>
  <si>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</si>
  <si>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</si>
  <si>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</si>
  <si>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</si>
  <si>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</si>
  <si>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</si>
  <si>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</si>
  <si>
    <t>Затраты на рекламу, тыс. тенге</t>
  </si>
  <si>
    <t>Производственные затраты, тыс. тенге</t>
  </si>
  <si>
    <t>1 этап</t>
  </si>
  <si>
    <t>Закономерность</t>
  </si>
  <si>
    <t>Рост</t>
  </si>
  <si>
    <t>Спад</t>
  </si>
  <si>
    <t>рост</t>
  </si>
  <si>
    <t>спад</t>
  </si>
  <si>
    <t>Посторяемость одинаковых тенденций через 12 мес. Наблюдается цикличность выручки.</t>
  </si>
  <si>
    <t>2 этап</t>
  </si>
  <si>
    <t>Выручка (сглаженные данные), тыс. тенге</t>
  </si>
  <si>
    <t>Переменная X 2</t>
  </si>
  <si>
    <t>Линейное двухфакторное уравнение тренда:</t>
  </si>
  <si>
    <t>Y = 13,9X1 - 0,64X2 - 880,48</t>
  </si>
  <si>
    <t>Степень приближения уравнения тренда к исходным точкам не оценивается, тк на выручку влияют также циклические факторы</t>
  </si>
  <si>
    <t>Трендовая компонента, тыс. тенге</t>
  </si>
  <si>
    <t>3.1 Вы деление сезонной составляющей для аддитивной модели</t>
  </si>
  <si>
    <t>Всего сезонов 12</t>
  </si>
  <si>
    <t>Сезонная компонента, тыс. тенге</t>
  </si>
  <si>
    <t>Сезонный коэффициент</t>
  </si>
  <si>
    <t>3.2 Расчет корректирующих коэффициентов к сезонным кофээфициентам</t>
  </si>
  <si>
    <t>это фактическая сумма сезонных коэффициентов</t>
  </si>
  <si>
    <t>Сумма сезонных коэффициентов в аддитивной модели должна быть равна нулю.</t>
  </si>
  <si>
    <t>Т.к. сумма не равна нулю, то вычисляется корректирующий коэффициент (среднее значение сезонного коэффициента)</t>
  </si>
  <si>
    <t>Корректирующий коэффициент =</t>
  </si>
  <si>
    <t>Скорректированный сезонный коэффициент</t>
  </si>
  <si>
    <t>Сезонный коэффициент, тыс. тенге</t>
  </si>
  <si>
    <t xml:space="preserve"> - это фактическая сумма сезонных коэффициентов</t>
  </si>
  <si>
    <t>3.3 Вы деление сезонной составляющей для мультипликативной модели</t>
  </si>
  <si>
    <t>3.4 Расчет корректирующих коэффициентов к сезонным кофээфициентам</t>
  </si>
  <si>
    <t>Сумма сезонных коэффициентов в мультипликативной модели должна быть равна количеству сезонов в цикле.</t>
  </si>
  <si>
    <t>Т.к. сумма не равна количеств сезонов в цикле, то вычисляется корректирующий коэффициент:</t>
  </si>
  <si>
    <t xml:space="preserve">Корректирующий коэффициент = </t>
  </si>
  <si>
    <t>4.1 в виде аддитивной модели</t>
  </si>
  <si>
    <t>Y = 13,9X1 - 0,64X2 - 880,48 + Скскор</t>
  </si>
  <si>
    <t>Расчетное значение выручки по функции прогнозирования, тыс. тенге</t>
  </si>
  <si>
    <t>Абсолютная ошибка, тыс. тенге</t>
  </si>
  <si>
    <t>Относительная ошибка, %</t>
  </si>
  <si>
    <t>4.2 в виде мультипликативной модели</t>
  </si>
  <si>
    <t>Y = (13,9X1 - 0,64X2 - 880,48)* Скскор</t>
  </si>
  <si>
    <t>Вывод: аддитивная модель функции прогнозирования достовернее</t>
  </si>
  <si>
    <t xml:space="preserve"> - прогноз трендовой компоненты</t>
  </si>
  <si>
    <t xml:space="preserve"> - прогноз сезонной компоненты</t>
  </si>
  <si>
    <t xml:space="preserve"> - прогноз выручки</t>
  </si>
  <si>
    <t>5 этап Прогноз на июль 2007 года выручки, если планируется затратить на рекламу 400 тыс. тенге, вложить в производство 800 тыс. тенге</t>
  </si>
  <si>
    <t>Тема 9 Построение функции прогнозирования при наличии цикличности временного ряда прогнозируемой величины</t>
  </si>
  <si>
    <t>Построение прогноза методом Брауна</t>
  </si>
  <si>
    <t>Графическое представление временного ряда выручки</t>
  </si>
  <si>
    <t>Построение трендовой части функции прогнозирования. Выбор вида тренда.</t>
  </si>
  <si>
    <t>визуально, без циклических колебаний вырисовывается прямая линия с положительным наклоном</t>
  </si>
  <si>
    <t>3 этап     Расчет сезонных коэффициентов</t>
  </si>
  <si>
    <t>4 этап Построение функции прогнозирования в виде аддитивной и мультипликативной моделей и вычисление расчетных (теоретических) значений выручки по функции на периоды в прошлом. Расчет средней относительной ошибки функции прогнозирования, %</t>
  </si>
  <si>
    <t>тыс. тенге</t>
  </si>
  <si>
    <t>1 Построение прогноза рентабельности затрат методом среднего абсолютного прироста</t>
  </si>
  <si>
    <t>Объем реализации, тыс. тенге</t>
  </si>
  <si>
    <t>прогноз</t>
  </si>
  <si>
    <t>Абсолютный прирост, тыс. тенге</t>
  </si>
  <si>
    <t>В среднем</t>
  </si>
  <si>
    <t>ошибка прогноза</t>
  </si>
  <si>
    <t>ошибка прогноза по модулю</t>
  </si>
  <si>
    <t>минимальная ошибка</t>
  </si>
  <si>
    <t>Прогноз на 2018 год</t>
  </si>
  <si>
    <t>3 Построение прогноза с помощью взвешенных скользящих средних (подходит, когда не наблюдается резких изменений показателя, при колебательных движениях)</t>
  </si>
  <si>
    <t>2 Построение прогноза с помощью невзвешенных скользящих средних (подходит, когда не наблюдается резких изменений показателя, при колебательных движениях)</t>
  </si>
  <si>
    <t>Длина интервала для расчета невзвешенного скользящего среднего</t>
  </si>
  <si>
    <t>Длина интервала для расчета взвешенного скользящего среднего</t>
  </si>
  <si>
    <t>прогноз при альфа 0,2</t>
  </si>
  <si>
    <t>прогноз при альфа 0,3</t>
  </si>
  <si>
    <t>прогноз при альфа 0,5</t>
  </si>
  <si>
    <t>прогноз при альфа 0,7</t>
  </si>
  <si>
    <t>прогноз при альфа 0,8</t>
  </si>
  <si>
    <t>4 Построение прогноза с помощью экспоненциальных средних (целесообразно  применять при наличии тенденции и при условии, что большее доверие  с точки зрения прогнозирования на будущее данных последних периодов времени)</t>
  </si>
  <si>
    <t>5 Пострение прогноза методом экстраполяции временного тренда</t>
  </si>
  <si>
    <t>Прогноз на 2018 год по полиному второй степени методом экстраполяции временного тренда</t>
  </si>
  <si>
    <t>Метод прогноза</t>
  </si>
  <si>
    <t>Прогнозное значение объема реализации, тыс. тенге</t>
  </si>
  <si>
    <t>Вес</t>
  </si>
  <si>
    <t>Достоинства метода</t>
  </si>
  <si>
    <t>Недостатки метода</t>
  </si>
  <si>
    <t>среднего абсолютного прироста</t>
  </si>
  <si>
    <t>невзвешенного скользящего среднего</t>
  </si>
  <si>
    <t>взвешенного скользящего среднего</t>
  </si>
  <si>
    <t>экспоненциального среднего</t>
  </si>
  <si>
    <t>экстраполяция временного тренда</t>
  </si>
  <si>
    <t>при сложившейся тенденции роста или снижения прогноз всегда будет соответствовать данной фактической тенденции</t>
  </si>
  <si>
    <t xml:space="preserve">Сравнительный анализ методов построения прогноза и полученных результатов, выведение итогового прогнозного значения </t>
  </si>
  <si>
    <t>1) рассчитываются прогнозные значения на периоды в прошлом и оценивается достоверность прогноза с тем, чтобы оценить целесообразность построения прогноза данным методом на будущее, т.е. метод предполагает проверку прогноза</t>
  </si>
  <si>
    <t>1) подходит, когда не налюдается резких колебаний показателя, при колебательных движениях; 2) не корректные результаты, если сложилась устойчивая тенденция</t>
  </si>
  <si>
    <t>1) учитывает старение данных</t>
  </si>
  <si>
    <t>1) результаты в некоторой степени не корректны, если сложилась устойчивая тенденция показателя</t>
  </si>
  <si>
    <t>1) требуется достаточно длительный временной ряд; 2) требуются знания математического анализа данных;</t>
  </si>
  <si>
    <t>Итоговый прогноз на 2018 год</t>
  </si>
  <si>
    <t>Наименование продукции</t>
  </si>
  <si>
    <t>Ролики конвейерные</t>
  </si>
  <si>
    <t>Бурильные трубы</t>
  </si>
  <si>
    <t>Лебедки</t>
  </si>
  <si>
    <t>Грейферы</t>
  </si>
  <si>
    <t>Вибропитатели</t>
  </si>
  <si>
    <t>Доля рынка</t>
  </si>
  <si>
    <t>относительная доля рынка</t>
  </si>
  <si>
    <t>предприятия, %</t>
  </si>
  <si>
    <t>сильнейшего конкурента, %</t>
  </si>
  <si>
    <t>2015 год</t>
  </si>
  <si>
    <t>2016 год</t>
  </si>
  <si>
    <t>2017 год</t>
  </si>
  <si>
    <t>Объем товарной продукции, тыс тенге</t>
  </si>
  <si>
    <t>Средний годовой темп роста объема товарной продукции, %</t>
  </si>
  <si>
    <t>Резина-технические изделия (РТИ)</t>
  </si>
  <si>
    <t>Горно-шахтное оборудование (ГШО)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</si>
</sst>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"/>
    <numFmt numFmtId="166" formatCode="#,##0.0"/>
  </numFmts>
  <fonts count="42" x14ac:knownFonts="1"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1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1"/>
      <color theme="1"/>
      <name val="Arial"/>
      <family val="2"/>
      <charset val="204"/>
    </font>
    <font>
      <b/>
      <sz val="12"/>
      <color rgb="FF000000"/>
      <name val="Arial"/>
      <family val="2"/>
      <charset val="204"/>
    </font>
    <font>
      <sz val="12"/>
      <color theme="1"/>
      <name val="Arial"/>
      <family val="2"/>
      <charset val="204"/>
    </font>
    <font>
      <b/>
      <vertAlign val="superscript"/>
      <sz val="12"/>
      <color rgb="FF000000"/>
      <name val="Arial"/>
      <family val="2"/>
      <charset val="204"/>
    </font>
    <font>
      <sz val="12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7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vertAlign val="superscript"/>
      <sz val="11"/>
      <color rgb="FF000000"/>
      <name val="Calibri"/>
      <family val="2"/>
      <charset val="204"/>
    </font>
    <font>
      <i/>
      <sz val="11"/>
      <color rgb="FF000000"/>
      <name val="Calibri"/>
      <family val="2"/>
      <charset val="204"/>
    </font>
    <font>
      <b/>
      <sz val="9"/>
      <color rgb="FF000000"/>
      <name val="Calibri"/>
      <family val="2"/>
      <charset val="204"/>
    </font>
    <font>
      <b/>
      <vertAlign val="superscript"/>
      <sz val="11"/>
      <color rgb="FF000000"/>
      <name val="Calibri"/>
      <family val="2"/>
      <charset val="204"/>
    </font>
    <font>
      <b/>
      <i/>
      <vertAlign val="superscript"/>
      <sz val="11"/>
      <color rgb="FF000000"/>
      <name val="Calibri"/>
      <family val="2"/>
      <charset val="204"/>
    </font>
    <font>
      <i/>
      <vertAlign val="superscript"/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rgb="FF000000"/>
      <name val="Arial"/>
      <family val="2"/>
      <charset val="204"/>
    </font>
    <font>
      <b/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7"/>
      <color rgb="FF000000"/>
      <name val="Times New Roman"/>
      <family val="1"/>
      <charset val="204"/>
    </font>
    <font>
      <vertAlign val="superscript"/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Calibri"/>
      <family val="2"/>
      <charset val="204"/>
      <scheme val="minor"/>
    </font>
    <font>
      <sz val="11"/>
      <color rgb="FF00B050"/>
      <name val="Calibri"/>
      <family val="2"/>
      <charset val="204"/>
      <scheme val="minor"/>
    </font>
    <font>
      <sz val="11"/>
      <color theme="3" tint="0.39997558519241921"/>
      <name val="Calibri"/>
      <family val="2"/>
      <charset val="204"/>
      <scheme val="minor"/>
    </font>
    <font>
      <b/>
      <u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vertAlign val="superscript"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64" fontId="1" fillId="0" borderId="0" xfId="0" applyNumberFormat="1" applyFont="1"/>
    <xf numFmtId="2" fontId="1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4" fillId="0" borderId="0" xfId="0" applyFont="1"/>
    <xf numFmtId="0" fontId="6" fillId="0" borderId="0" xfId="0" applyFont="1"/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9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10" fillId="0" borderId="0" xfId="0" applyFont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3" fontId="11" fillId="0" borderId="1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3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0" xfId="0" applyFont="1" applyAlignment="1">
      <alignment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 indent="1"/>
    </xf>
    <xf numFmtId="0" fontId="11" fillId="0" borderId="1" xfId="0" applyFont="1" applyBorder="1" applyAlignment="1">
      <alignment horizontal="left" vertical="center" wrapText="1" indent="2"/>
    </xf>
    <xf numFmtId="0" fontId="11" fillId="0" borderId="0" xfId="0" applyFont="1" applyAlignment="1">
      <alignment horizontal="right" vertical="center"/>
    </xf>
    <xf numFmtId="0" fontId="11" fillId="0" borderId="1" xfId="0" applyFont="1" applyBorder="1" applyAlignment="1">
      <alignment vertical="center"/>
    </xf>
    <xf numFmtId="4" fontId="11" fillId="0" borderId="1" xfId="0" applyNumberFormat="1" applyFont="1" applyBorder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0" fillId="0" borderId="0" xfId="0" applyFont="1"/>
    <xf numFmtId="3" fontId="11" fillId="0" borderId="0" xfId="0" applyNumberFormat="1" applyFont="1" applyBorder="1" applyAlignment="1">
      <alignment horizontal="right" vertical="center" wrapText="1"/>
    </xf>
    <xf numFmtId="0" fontId="0" fillId="0" borderId="0" xfId="0" applyBorder="1" applyAlignment="1">
      <alignment horizontal="center" wrapText="1"/>
    </xf>
    <xf numFmtId="0" fontId="11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horizontal="right" vertical="center" wrapText="1"/>
    </xf>
    <xf numFmtId="0" fontId="1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wrapText="1"/>
    </xf>
    <xf numFmtId="3" fontId="11" fillId="0" borderId="1" xfId="0" applyNumberFormat="1" applyFont="1" applyBorder="1" applyAlignment="1">
      <alignment horizontal="center" vertical="center" wrapText="1"/>
    </xf>
    <xf numFmtId="0" fontId="0" fillId="0" borderId="12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9" fillId="0" borderId="0" xfId="0" applyFont="1" applyAlignment="1">
      <alignment horizontal="center" wrapText="1"/>
    </xf>
    <xf numFmtId="10" fontId="0" fillId="0" borderId="0" xfId="0" applyNumberFormat="1" applyBorder="1" applyAlignment="1">
      <alignment horizontal="center" wrapText="1"/>
    </xf>
    <xf numFmtId="0" fontId="11" fillId="0" borderId="0" xfId="0" applyFont="1" applyBorder="1" applyAlignment="1">
      <alignment horizontal="right" vertical="center" wrapText="1"/>
    </xf>
    <xf numFmtId="0" fontId="0" fillId="0" borderId="0" xfId="0" applyBorder="1" applyAlignment="1">
      <alignment wrapText="1"/>
    </xf>
    <xf numFmtId="0" fontId="9" fillId="0" borderId="0" xfId="0" applyFont="1" applyBorder="1" applyAlignment="1">
      <alignment wrapText="1"/>
    </xf>
    <xf numFmtId="0" fontId="0" fillId="0" borderId="0" xfId="0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10" fontId="0" fillId="0" borderId="0" xfId="0" applyNumberFormat="1" applyFill="1" applyBorder="1" applyAlignment="1">
      <alignment horizontal="center" wrapText="1"/>
    </xf>
    <xf numFmtId="0" fontId="0" fillId="0" borderId="16" xfId="0" applyFill="1" applyBorder="1" applyAlignment="1">
      <alignment horizontal="center" wrapText="1"/>
    </xf>
    <xf numFmtId="0" fontId="0" fillId="0" borderId="18" xfId="0" applyFill="1" applyBorder="1" applyAlignment="1">
      <alignment horizontal="center" wrapText="1"/>
    </xf>
    <xf numFmtId="0" fontId="0" fillId="0" borderId="4" xfId="0" applyFill="1" applyBorder="1" applyAlignment="1">
      <alignment horizontal="center" wrapText="1"/>
    </xf>
    <xf numFmtId="0" fontId="0" fillId="0" borderId="5" xfId="0" applyFill="1" applyBorder="1" applyAlignment="1">
      <alignment horizontal="center" wrapText="1"/>
    </xf>
    <xf numFmtId="0" fontId="0" fillId="0" borderId="6" xfId="0" applyFill="1" applyBorder="1" applyAlignment="1">
      <alignment horizontal="center" wrapText="1"/>
    </xf>
    <xf numFmtId="0" fontId="0" fillId="0" borderId="8" xfId="0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5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22" fillId="2" borderId="0" xfId="0" applyFont="1" applyFill="1" applyBorder="1" applyAlignment="1">
      <alignment horizontal="center" vertical="center"/>
    </xf>
    <xf numFmtId="0" fontId="22" fillId="0" borderId="0" xfId="0" applyFont="1" applyBorder="1" applyAlignment="1">
      <alignment horizontal="right" vertical="center"/>
    </xf>
    <xf numFmtId="0" fontId="0" fillId="0" borderId="0" xfId="0" applyBorder="1"/>
    <xf numFmtId="0" fontId="6" fillId="0" borderId="0" xfId="0" applyFont="1" applyBorder="1"/>
    <xf numFmtId="0" fontId="22" fillId="0" borderId="0" xfId="0" applyFont="1" applyBorder="1" applyAlignment="1">
      <alignment vertical="center"/>
    </xf>
    <xf numFmtId="4" fontId="22" fillId="0" borderId="0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vertical="center" wrapText="1"/>
    </xf>
    <xf numFmtId="0" fontId="22" fillId="0" borderId="1" xfId="0" applyFont="1" applyBorder="1" applyAlignment="1">
      <alignment horizontal="right" vertical="center" wrapText="1"/>
    </xf>
    <xf numFmtId="0" fontId="22" fillId="0" borderId="1" xfId="0" applyFont="1" applyBorder="1" applyAlignment="1">
      <alignment vertical="center" wrapText="1"/>
    </xf>
    <xf numFmtId="0" fontId="23" fillId="0" borderId="0" xfId="0" applyFont="1" applyBorder="1" applyAlignment="1">
      <alignment vertical="center"/>
    </xf>
    <xf numFmtId="2" fontId="6" fillId="0" borderId="1" xfId="0" applyNumberFormat="1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1" fillId="0" borderId="0" xfId="0" applyFont="1" applyBorder="1" applyAlignment="1">
      <alignment wrapText="1"/>
    </xf>
    <xf numFmtId="0" fontId="4" fillId="0" borderId="0" xfId="0" applyFont="1" applyBorder="1" applyAlignment="1">
      <alignment horizontal="center"/>
    </xf>
    <xf numFmtId="0" fontId="8" fillId="0" borderId="2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left" vertical="center" wrapText="1"/>
    </xf>
    <xf numFmtId="0" fontId="8" fillId="0" borderId="23" xfId="0" applyFont="1" applyBorder="1" applyAlignment="1">
      <alignment horizontal="left" vertical="center" wrapText="1"/>
    </xf>
    <xf numFmtId="0" fontId="8" fillId="0" borderId="24" xfId="0" applyFont="1" applyBorder="1" applyAlignment="1">
      <alignment horizontal="left" vertical="center" wrapText="1"/>
    </xf>
    <xf numFmtId="0" fontId="1" fillId="0" borderId="25" xfId="0" applyFont="1" applyBorder="1" applyAlignment="1">
      <alignment horizontal="center"/>
    </xf>
    <xf numFmtId="0" fontId="1" fillId="0" borderId="4" xfId="0" applyFont="1" applyBorder="1" applyAlignment="1">
      <alignment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wrapText="1"/>
    </xf>
    <xf numFmtId="0" fontId="1" fillId="0" borderId="8" xfId="0" applyFont="1" applyBorder="1" applyAlignment="1">
      <alignment horizontal="center"/>
    </xf>
    <xf numFmtId="0" fontId="1" fillId="0" borderId="16" xfId="0" applyFont="1" applyBorder="1" applyAlignment="1">
      <alignment wrapText="1"/>
    </xf>
    <xf numFmtId="0" fontId="1" fillId="0" borderId="18" xfId="0" applyFont="1" applyBorder="1" applyAlignment="1">
      <alignment horizontal="center"/>
    </xf>
    <xf numFmtId="0" fontId="1" fillId="0" borderId="12" xfId="0" applyFont="1" applyBorder="1" applyAlignment="1">
      <alignment wrapText="1"/>
    </xf>
    <xf numFmtId="0" fontId="1" fillId="0" borderId="32" xfId="0" applyFont="1" applyBorder="1" applyAlignment="1">
      <alignment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24" xfId="0" applyFont="1" applyBorder="1" applyAlignment="1">
      <alignment wrapText="1"/>
    </xf>
    <xf numFmtId="0" fontId="4" fillId="0" borderId="0" xfId="0" applyFont="1" applyBorder="1"/>
    <xf numFmtId="0" fontId="1" fillId="0" borderId="4" xfId="0" applyFont="1" applyBorder="1" applyAlignment="1">
      <alignment horizontal="center"/>
    </xf>
    <xf numFmtId="2" fontId="1" fillId="0" borderId="7" xfId="0" applyNumberFormat="1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2" fontId="1" fillId="0" borderId="17" xfId="0" applyNumberFormat="1" applyFont="1" applyBorder="1" applyAlignment="1">
      <alignment horizontal="center"/>
    </xf>
    <xf numFmtId="0" fontId="1" fillId="0" borderId="12" xfId="0" applyFont="1" applyBorder="1" applyAlignment="1">
      <alignment horizontal="center" wrapText="1"/>
    </xf>
    <xf numFmtId="0" fontId="1" fillId="0" borderId="13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center" vertical="center" wrapText="1"/>
    </xf>
    <xf numFmtId="9" fontId="0" fillId="0" borderId="0" xfId="0" applyNumberFormat="1"/>
    <xf numFmtId="0" fontId="0" fillId="0" borderId="1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0" borderId="1" xfId="0" applyBorder="1"/>
    <xf numFmtId="0" fontId="9" fillId="0" borderId="0" xfId="0" applyFont="1" applyBorder="1" applyAlignment="1">
      <alignment horizontal="center"/>
    </xf>
    <xf numFmtId="0" fontId="24" fillId="3" borderId="1" xfId="0" applyFont="1" applyFill="1" applyBorder="1"/>
    <xf numFmtId="0" fontId="0" fillId="0" borderId="0" xfId="0" applyFill="1" applyBorder="1" applyAlignment="1">
      <alignment horizontal="center"/>
    </xf>
    <xf numFmtId="0" fontId="0" fillId="0" borderId="0" xfId="0" applyFill="1" applyBorder="1"/>
    <xf numFmtId="0" fontId="9" fillId="0" borderId="0" xfId="0" applyFont="1" applyFill="1" applyBorder="1"/>
    <xf numFmtId="0" fontId="0" fillId="3" borderId="1" xfId="0" applyFill="1" applyBorder="1"/>
    <xf numFmtId="0" fontId="9" fillId="0" borderId="0" xfId="0" applyFont="1" applyAlignment="1">
      <alignment horizontal="center"/>
    </xf>
    <xf numFmtId="0" fontId="9" fillId="0" borderId="0" xfId="0" applyFont="1"/>
    <xf numFmtId="0" fontId="9" fillId="3" borderId="1" xfId="0" applyFon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9" fillId="3" borderId="13" xfId="0" applyFont="1" applyFill="1" applyBorder="1" applyAlignment="1">
      <alignment horizontal="center"/>
    </xf>
    <xf numFmtId="0" fontId="9" fillId="3" borderId="23" xfId="0" applyFont="1" applyFill="1" applyBorder="1" applyAlignment="1">
      <alignment horizontal="center"/>
    </xf>
    <xf numFmtId="0" fontId="0" fillId="0" borderId="1" xfId="0" applyFill="1" applyBorder="1"/>
    <xf numFmtId="3" fontId="10" fillId="0" borderId="0" xfId="0" applyNumberFormat="1" applyFont="1" applyAlignment="1">
      <alignment horizontal="right" vertical="center"/>
    </xf>
    <xf numFmtId="3" fontId="10" fillId="0" borderId="0" xfId="0" applyNumberFormat="1" applyFont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27" fillId="0" borderId="0" xfId="0" applyFont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3" xfId="0" applyBorder="1" applyAlignment="1">
      <alignment horizontal="center" wrapText="1"/>
    </xf>
    <xf numFmtId="0" fontId="0" fillId="0" borderId="3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6" xfId="0" applyBorder="1"/>
    <xf numFmtId="0" fontId="0" fillId="0" borderId="34" xfId="0" applyBorder="1" applyAlignment="1">
      <alignment horizontal="center" wrapText="1"/>
    </xf>
    <xf numFmtId="0" fontId="0" fillId="0" borderId="35" xfId="0" applyBorder="1" applyAlignment="1">
      <alignment horizontal="center" vertical="center" wrapText="1"/>
    </xf>
    <xf numFmtId="0" fontId="0" fillId="0" borderId="19" xfId="0" applyBorder="1"/>
    <xf numFmtId="0" fontId="0" fillId="0" borderId="36" xfId="0" applyBorder="1"/>
    <xf numFmtId="0" fontId="0" fillId="0" borderId="15" xfId="0" applyBorder="1"/>
    <xf numFmtId="0" fontId="0" fillId="0" borderId="37" xfId="0" applyBorder="1"/>
    <xf numFmtId="0" fontId="0" fillId="0" borderId="15" xfId="0" applyBorder="1" applyAlignment="1">
      <alignment horizontal="center"/>
    </xf>
    <xf numFmtId="0" fontId="0" fillId="0" borderId="4" xfId="0" applyBorder="1"/>
    <xf numFmtId="0" fontId="0" fillId="0" borderId="9" xfId="0" applyBorder="1"/>
    <xf numFmtId="0" fontId="28" fillId="0" borderId="0" xfId="0" applyFont="1"/>
    <xf numFmtId="0" fontId="28" fillId="0" borderId="0" xfId="0" applyFont="1" applyAlignment="1">
      <alignment wrapText="1"/>
    </xf>
    <xf numFmtId="0" fontId="29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vertical="center" wrapText="1"/>
    </xf>
    <xf numFmtId="4" fontId="29" fillId="0" borderId="1" xfId="0" applyNumberFormat="1" applyFont="1" applyBorder="1" applyAlignment="1">
      <alignment horizontal="right" vertical="center" wrapText="1"/>
    </xf>
    <xf numFmtId="165" fontId="28" fillId="0" borderId="1" xfId="0" applyNumberFormat="1" applyFont="1" applyBorder="1" applyAlignment="1">
      <alignment horizontal="center"/>
    </xf>
    <xf numFmtId="3" fontId="10" fillId="0" borderId="1" xfId="0" applyNumberFormat="1" applyFont="1" applyBorder="1" applyAlignment="1">
      <alignment horizontal="center" vertical="center"/>
    </xf>
    <xf numFmtId="2" fontId="28" fillId="0" borderId="1" xfId="0" applyNumberFormat="1" applyFont="1" applyBorder="1"/>
    <xf numFmtId="0" fontId="28" fillId="0" borderId="1" xfId="0" applyFont="1" applyBorder="1"/>
    <xf numFmtId="0" fontId="10" fillId="0" borderId="1" xfId="0" applyFont="1" applyBorder="1" applyAlignment="1">
      <alignment horizontal="center" vertical="center"/>
    </xf>
    <xf numFmtId="4" fontId="28" fillId="0" borderId="1" xfId="0" applyNumberFormat="1" applyFont="1" applyBorder="1"/>
    <xf numFmtId="0" fontId="31" fillId="0" borderId="0" xfId="0" applyFont="1"/>
    <xf numFmtId="0" fontId="32" fillId="0" borderId="1" xfId="0" applyFont="1" applyFill="1" applyBorder="1" applyAlignment="1">
      <alignment horizontal="centerContinuous"/>
    </xf>
    <xf numFmtId="0" fontId="0" fillId="0" borderId="1" xfId="0" applyFill="1" applyBorder="1" applyAlignment="1"/>
    <xf numFmtId="0" fontId="32" fillId="0" borderId="1" xfId="0" applyFont="1" applyFill="1" applyBorder="1" applyAlignment="1">
      <alignment horizontal="center"/>
    </xf>
    <xf numFmtId="0" fontId="32" fillId="0" borderId="1" xfId="0" applyFont="1" applyFill="1" applyBorder="1" applyAlignment="1">
      <alignment horizontal="center" wrapText="1"/>
    </xf>
    <xf numFmtId="0" fontId="9" fillId="0" borderId="1" xfId="0" applyFont="1" applyFill="1" applyBorder="1" applyAlignment="1"/>
    <xf numFmtId="0" fontId="0" fillId="0" borderId="0" xfId="0" applyFill="1"/>
    <xf numFmtId="0" fontId="19" fillId="0" borderId="0" xfId="0" applyFont="1" applyFill="1"/>
    <xf numFmtId="0" fontId="33" fillId="0" borderId="0" xfId="0" applyFont="1" applyFill="1"/>
    <xf numFmtId="0" fontId="34" fillId="0" borderId="0" xfId="0" applyFont="1" applyFill="1"/>
    <xf numFmtId="0" fontId="35" fillId="0" borderId="0" xfId="0" applyFont="1" applyFill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9" fillId="0" borderId="1" xfId="0" applyFont="1" applyFill="1" applyBorder="1"/>
    <xf numFmtId="0" fontId="9" fillId="0" borderId="1" xfId="0" applyFont="1" applyBorder="1" applyAlignment="1">
      <alignment horizontal="center"/>
    </xf>
    <xf numFmtId="0" fontId="25" fillId="0" borderId="1" xfId="0" applyFont="1" applyFill="1" applyBorder="1"/>
    <xf numFmtId="0" fontId="9" fillId="0" borderId="1" xfId="0" applyFont="1" applyBorder="1"/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36" fillId="0" borderId="1" xfId="0" applyFont="1" applyBorder="1" applyAlignment="1">
      <alignment horizontal="center" vertical="center"/>
    </xf>
    <xf numFmtId="166" fontId="36" fillId="0" borderId="1" xfId="0" applyNumberFormat="1" applyFont="1" applyBorder="1" applyAlignment="1">
      <alignment horizontal="center" vertical="center"/>
    </xf>
    <xf numFmtId="166" fontId="0" fillId="0" borderId="0" xfId="0" applyNumberFormat="1"/>
    <xf numFmtId="0" fontId="3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66" fontId="0" fillId="0" borderId="1" xfId="0" applyNumberFormat="1" applyBorder="1" applyAlignment="1">
      <alignment horizontal="center"/>
    </xf>
    <xf numFmtId="166" fontId="0" fillId="0" borderId="1" xfId="0" applyNumberFormat="1" applyBorder="1" applyAlignment="1">
      <alignment horizontal="center" vertical="center" wrapText="1"/>
    </xf>
    <xf numFmtId="166" fontId="0" fillId="3" borderId="1" xfId="0" applyNumberFormat="1" applyFill="1" applyBorder="1" applyAlignment="1">
      <alignment horizontal="center"/>
    </xf>
    <xf numFmtId="0" fontId="36" fillId="3" borderId="1" xfId="0" applyFont="1" applyFill="1" applyBorder="1" applyAlignment="1">
      <alignment horizontal="center" vertical="center" wrapText="1"/>
    </xf>
    <xf numFmtId="0" fontId="37" fillId="3" borderId="1" xfId="0" applyFont="1" applyFill="1" applyBorder="1" applyAlignment="1">
      <alignment horizontal="center" vertical="center" wrapText="1"/>
    </xf>
    <xf numFmtId="0" fontId="37" fillId="3" borderId="1" xfId="0" applyFont="1" applyFill="1" applyBorder="1" applyAlignment="1">
      <alignment horizontal="left" vertical="center" wrapText="1"/>
    </xf>
    <xf numFmtId="3" fontId="37" fillId="3" borderId="1" xfId="0" applyNumberFormat="1" applyFont="1" applyFill="1" applyBorder="1" applyAlignment="1">
      <alignment horizontal="center" vertical="center" wrapText="1"/>
    </xf>
    <xf numFmtId="3" fontId="0" fillId="0" borderId="1" xfId="0" applyNumberFormat="1" applyBorder="1"/>
    <xf numFmtId="0" fontId="37" fillId="7" borderId="1" xfId="0" applyFont="1" applyFill="1" applyBorder="1" applyAlignment="1">
      <alignment horizontal="left" vertical="center" wrapText="1"/>
    </xf>
    <xf numFmtId="0" fontId="0" fillId="7" borderId="1" xfId="0" applyFill="1" applyBorder="1" applyAlignment="1">
      <alignment horizontal="center"/>
    </xf>
    <xf numFmtId="0" fontId="0" fillId="0" borderId="0" xfId="0" applyFill="1" applyBorder="1" applyAlignment="1"/>
    <xf numFmtId="0" fontId="0" fillId="0" borderId="38" xfId="0" applyFill="1" applyBorder="1" applyAlignment="1"/>
    <xf numFmtId="0" fontId="32" fillId="0" borderId="39" xfId="0" applyFont="1" applyFill="1" applyBorder="1" applyAlignment="1">
      <alignment horizontal="center"/>
    </xf>
    <xf numFmtId="0" fontId="32" fillId="0" borderId="39" xfId="0" applyFont="1" applyFill="1" applyBorder="1" applyAlignment="1">
      <alignment horizontal="centerContinuous"/>
    </xf>
    <xf numFmtId="0" fontId="0" fillId="7" borderId="0" xfId="0" applyFill="1" applyBorder="1" applyAlignment="1"/>
    <xf numFmtId="0" fontId="0" fillId="7" borderId="38" xfId="0" applyFill="1" applyBorder="1" applyAlignment="1"/>
    <xf numFmtId="0" fontId="0" fillId="3" borderId="0" xfId="0" applyFill="1"/>
    <xf numFmtId="0" fontId="0" fillId="7" borderId="0" xfId="0" applyFont="1" applyFill="1" applyBorder="1" applyAlignment="1"/>
    <xf numFmtId="0" fontId="0" fillId="7" borderId="38" xfId="0" applyFont="1" applyFill="1" applyBorder="1" applyAlignment="1"/>
    <xf numFmtId="0" fontId="32" fillId="7" borderId="39" xfId="0" applyFont="1" applyFill="1" applyBorder="1" applyAlignment="1">
      <alignment horizontal="center"/>
    </xf>
    <xf numFmtId="0" fontId="0" fillId="7" borderId="1" xfId="0" applyFill="1" applyBorder="1"/>
    <xf numFmtId="0" fontId="0" fillId="0" borderId="0" xfId="0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6" fontId="36" fillId="0" borderId="17" xfId="0" applyNumberFormat="1" applyFont="1" applyBorder="1" applyAlignment="1">
      <alignment horizontal="center" vertical="center"/>
    </xf>
    <xf numFmtId="164" fontId="0" fillId="0" borderId="17" xfId="0" applyNumberFormat="1" applyBorder="1" applyAlignment="1">
      <alignment horizontal="center"/>
    </xf>
    <xf numFmtId="0" fontId="36" fillId="0" borderId="16" xfId="0" applyFont="1" applyBorder="1" applyAlignment="1">
      <alignment horizontal="center" vertical="center"/>
    </xf>
    <xf numFmtId="166" fontId="36" fillId="0" borderId="18" xfId="0" applyNumberFormat="1" applyFont="1" applyBorder="1" applyAlignment="1">
      <alignment horizontal="center" vertical="center"/>
    </xf>
    <xf numFmtId="0" fontId="36" fillId="0" borderId="4" xfId="0" applyFont="1" applyBorder="1" applyAlignment="1">
      <alignment horizontal="center" vertical="center"/>
    </xf>
    <xf numFmtId="166" fontId="36" fillId="0" borderId="5" xfId="0" applyNumberFormat="1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166" fontId="36" fillId="0" borderId="8" xfId="0" applyNumberFormat="1" applyFont="1" applyBorder="1" applyAlignment="1">
      <alignment horizontal="center" vertical="center"/>
    </xf>
    <xf numFmtId="164" fontId="0" fillId="0" borderId="16" xfId="0" applyNumberFormat="1" applyBorder="1" applyAlignment="1">
      <alignment horizontal="center"/>
    </xf>
    <xf numFmtId="164" fontId="0" fillId="0" borderId="18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164" fontId="0" fillId="0" borderId="8" xfId="0" applyNumberFormat="1" applyBorder="1" applyAlignment="1">
      <alignment horizontal="center"/>
    </xf>
    <xf numFmtId="166" fontId="36" fillId="0" borderId="7" xfId="0" applyNumberFormat="1" applyFont="1" applyBorder="1" applyAlignment="1">
      <alignment horizontal="center" vertical="center"/>
    </xf>
    <xf numFmtId="166" fontId="0" fillId="0" borderId="1" xfId="0" applyNumberFormat="1" applyBorder="1"/>
    <xf numFmtId="0" fontId="0" fillId="0" borderId="3" xfId="0" applyBorder="1" applyAlignment="1">
      <alignment horizontal="center" wrapText="1"/>
    </xf>
    <xf numFmtId="0" fontId="0" fillId="0" borderId="25" xfId="0" applyBorder="1" applyAlignment="1">
      <alignment horizontal="center" wrapText="1"/>
    </xf>
    <xf numFmtId="0" fontId="0" fillId="0" borderId="17" xfId="0" applyBorder="1"/>
    <xf numFmtId="0" fontId="0" fillId="0" borderId="18" xfId="0" applyBorder="1"/>
    <xf numFmtId="166" fontId="0" fillId="0" borderId="7" xfId="0" applyNumberFormat="1" applyBorder="1"/>
    <xf numFmtId="0" fontId="36" fillId="0" borderId="42" xfId="0" applyFont="1" applyFill="1" applyBorder="1" applyAlignment="1">
      <alignment horizontal="center" vertical="center"/>
    </xf>
    <xf numFmtId="0" fontId="0" fillId="0" borderId="43" xfId="0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9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36" fillId="0" borderId="1" xfId="0" applyFont="1" applyFill="1" applyBorder="1" applyAlignment="1">
      <alignment horizontal="center" vertical="center"/>
    </xf>
    <xf numFmtId="166" fontId="36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36" fillId="3" borderId="1" xfId="0" applyFont="1" applyFill="1" applyBorder="1" applyAlignment="1">
      <alignment horizontal="center" vertical="center"/>
    </xf>
    <xf numFmtId="166" fontId="36" fillId="3" borderId="1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wrapText="1"/>
    </xf>
    <xf numFmtId="0" fontId="0" fillId="0" borderId="1" xfId="0" applyBorder="1" applyAlignment="1"/>
    <xf numFmtId="0" fontId="35" fillId="0" borderId="0" xfId="0" applyFont="1" applyFill="1" applyBorder="1"/>
    <xf numFmtId="166" fontId="9" fillId="0" borderId="0" xfId="0" applyNumberFormat="1" applyFont="1" applyAlignment="1">
      <alignment horizontal="center"/>
    </xf>
    <xf numFmtId="166" fontId="9" fillId="0" borderId="0" xfId="0" applyNumberFormat="1" applyFont="1"/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66" fontId="0" fillId="3" borderId="0" xfId="0" applyNumberForma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166" fontId="36" fillId="0" borderId="19" xfId="0" applyNumberFormat="1" applyFont="1" applyFill="1" applyBorder="1" applyAlignment="1">
      <alignment horizontal="center" vertical="center"/>
    </xf>
    <xf numFmtId="166" fontId="36" fillId="3" borderId="19" xfId="0" applyNumberFormat="1" applyFont="1" applyFill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 wrapText="1"/>
    </xf>
    <xf numFmtId="2" fontId="0" fillId="0" borderId="3" xfId="0" applyNumberFormat="1" applyBorder="1" applyAlignment="1">
      <alignment horizontal="center" vertical="center" wrapText="1"/>
    </xf>
    <xf numFmtId="2" fontId="0" fillId="0" borderId="25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66" fontId="0" fillId="0" borderId="4" xfId="0" applyNumberFormat="1" applyBorder="1" applyAlignment="1">
      <alignment horizontal="center"/>
    </xf>
    <xf numFmtId="166" fontId="0" fillId="0" borderId="5" xfId="0" applyNumberFormat="1" applyBorder="1"/>
    <xf numFmtId="166" fontId="0" fillId="0" borderId="6" xfId="0" applyNumberForma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166" fontId="0" fillId="3" borderId="7" xfId="0" applyNumberFormat="1" applyFill="1" applyBorder="1" applyAlignment="1">
      <alignment horizontal="center"/>
    </xf>
    <xf numFmtId="166" fontId="0" fillId="0" borderId="8" xfId="0" applyNumberFormat="1" applyBorder="1"/>
    <xf numFmtId="0" fontId="36" fillId="0" borderId="17" xfId="0" applyFont="1" applyFill="1" applyBorder="1" applyAlignment="1">
      <alignment horizontal="center" vertical="center"/>
    </xf>
    <xf numFmtId="0" fontId="0" fillId="0" borderId="17" xfId="0" applyFill="1" applyBorder="1" applyAlignment="1">
      <alignment horizontal="center"/>
    </xf>
    <xf numFmtId="166" fontId="36" fillId="0" borderId="35" xfId="0" applyNumberFormat="1" applyFont="1" applyFill="1" applyBorder="1" applyAlignment="1">
      <alignment horizontal="center" vertical="center"/>
    </xf>
    <xf numFmtId="166" fontId="0" fillId="0" borderId="16" xfId="0" applyNumberFormat="1" applyBorder="1" applyAlignment="1">
      <alignment horizontal="center"/>
    </xf>
    <xf numFmtId="166" fontId="0" fillId="0" borderId="17" xfId="0" applyNumberFormat="1" applyBorder="1" applyAlignment="1">
      <alignment horizontal="center"/>
    </xf>
    <xf numFmtId="166" fontId="0" fillId="0" borderId="16" xfId="0" applyNumberFormat="1" applyBorder="1"/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3" borderId="1" xfId="0" applyFill="1" applyBorder="1" applyAlignment="1">
      <alignment wrapText="1"/>
    </xf>
    <xf numFmtId="164" fontId="9" fillId="0" borderId="0" xfId="0" applyNumberFormat="1" applyFont="1" applyAlignment="1">
      <alignment horizontal="center"/>
    </xf>
    <xf numFmtId="164" fontId="9" fillId="0" borderId="0" xfId="0" applyNumberFormat="1" applyFont="1"/>
    <xf numFmtId="164" fontId="0" fillId="0" borderId="1" xfId="0" applyNumberFormat="1" applyBorder="1" applyAlignment="1"/>
    <xf numFmtId="164" fontId="9" fillId="0" borderId="0" xfId="0" applyNumberFormat="1" applyFont="1" applyAlignment="1"/>
    <xf numFmtId="164" fontId="0" fillId="0" borderId="0" xfId="0" applyNumberFormat="1"/>
    <xf numFmtId="164" fontId="0" fillId="0" borderId="0" xfId="0" applyNumberFormat="1" applyAlignment="1"/>
    <xf numFmtId="164" fontId="9" fillId="3" borderId="1" xfId="0" applyNumberFormat="1" applyFont="1" applyFill="1" applyBorder="1" applyAlignment="1">
      <alignment horizontal="center" wrapText="1"/>
    </xf>
    <xf numFmtId="164" fontId="0" fillId="0" borderId="1" xfId="0" applyNumberFormat="1" applyBorder="1" applyAlignment="1">
      <alignment horizontal="center" wrapText="1"/>
    </xf>
    <xf numFmtId="166" fontId="9" fillId="3" borderId="0" xfId="0" applyNumberFormat="1" applyFont="1" applyFill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wrapText="1"/>
    </xf>
    <xf numFmtId="0" fontId="32" fillId="0" borderId="2" xfId="0" applyFont="1" applyFill="1" applyBorder="1" applyAlignment="1">
      <alignment horizontal="center" wrapText="1"/>
    </xf>
    <xf numFmtId="0" fontId="32" fillId="0" borderId="3" xfId="0" applyFont="1" applyFill="1" applyBorder="1" applyAlignment="1">
      <alignment horizontal="center" wrapText="1"/>
    </xf>
    <xf numFmtId="0" fontId="32" fillId="0" borderId="25" xfId="0" applyFont="1" applyFill="1" applyBorder="1" applyAlignment="1">
      <alignment horizontal="center" wrapText="1"/>
    </xf>
    <xf numFmtId="0" fontId="0" fillId="0" borderId="4" xfId="0" applyFill="1" applyBorder="1" applyAlignment="1"/>
    <xf numFmtId="0" fontId="0" fillId="0" borderId="5" xfId="0" applyFill="1" applyBorder="1" applyAlignment="1"/>
    <xf numFmtId="0" fontId="0" fillId="0" borderId="6" xfId="0" applyFill="1" applyBorder="1" applyAlignment="1"/>
    <xf numFmtId="0" fontId="0" fillId="0" borderId="7" xfId="0" applyFill="1" applyBorder="1" applyAlignment="1"/>
    <xf numFmtId="0" fontId="0" fillId="0" borderId="8" xfId="0" applyFill="1" applyBorder="1" applyAlignment="1"/>
    <xf numFmtId="0" fontId="32" fillId="0" borderId="2" xfId="0" applyFont="1" applyFill="1" applyBorder="1" applyAlignment="1">
      <alignment horizontal="center" vertical="center" wrapText="1"/>
    </xf>
    <xf numFmtId="0" fontId="32" fillId="0" borderId="3" xfId="0" applyFont="1" applyFill="1" applyBorder="1" applyAlignment="1">
      <alignment horizontal="center" vertical="center" wrapText="1"/>
    </xf>
    <xf numFmtId="0" fontId="32" fillId="0" borderId="25" xfId="0" applyFont="1" applyFill="1" applyBorder="1" applyAlignment="1">
      <alignment horizontal="center" vertical="center" wrapText="1"/>
    </xf>
    <xf numFmtId="0" fontId="39" fillId="0" borderId="3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/>
    <xf numFmtId="0" fontId="0" fillId="0" borderId="1" xfId="0" applyFill="1" applyBorder="1" applyAlignment="1">
      <alignment horizontal="center" vertical="center" wrapText="1"/>
    </xf>
    <xf numFmtId="2" fontId="0" fillId="0" borderId="1" xfId="0" applyNumberFormat="1" applyBorder="1"/>
    <xf numFmtId="2" fontId="0" fillId="0" borderId="1" xfId="0" applyNumberFormat="1" applyBorder="1" applyAlignment="1">
      <alignment horizontal="center"/>
    </xf>
    <xf numFmtId="0" fontId="35" fillId="0" borderId="0" xfId="0" applyFont="1"/>
    <xf numFmtId="2" fontId="9" fillId="0" borderId="1" xfId="0" applyNumberFormat="1" applyFont="1" applyBorder="1"/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/>
    <xf numFmtId="10" fontId="0" fillId="0" borderId="1" xfId="0" applyNumberFormat="1" applyFont="1" applyBorder="1" applyAlignment="1">
      <alignment horizontal="center"/>
    </xf>
    <xf numFmtId="2" fontId="0" fillId="0" borderId="1" xfId="0" applyNumberFormat="1" applyBorder="1" applyAlignment="1">
      <alignment wrapText="1"/>
    </xf>
    <xf numFmtId="1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9" fillId="0" borderId="0" xfId="0" applyFont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3" fontId="9" fillId="0" borderId="0" xfId="0" applyNumberFormat="1" applyFont="1" applyAlignment="1">
      <alignment horizontal="center"/>
    </xf>
    <xf numFmtId="3" fontId="0" fillId="0" borderId="1" xfId="0" applyNumberFormat="1" applyBorder="1" applyAlignment="1">
      <alignment horizontal="center"/>
    </xf>
    <xf numFmtId="3" fontId="9" fillId="0" borderId="1" xfId="0" applyNumberFormat="1" applyFont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3" fontId="0" fillId="0" borderId="10" xfId="0" applyNumberFormat="1" applyBorder="1" applyAlignment="1">
      <alignment horizontal="center"/>
    </xf>
    <xf numFmtId="0" fontId="0" fillId="0" borderId="13" xfId="0" applyBorder="1"/>
    <xf numFmtId="3" fontId="9" fillId="0" borderId="13" xfId="0" applyNumberFormat="1" applyFont="1" applyBorder="1" applyAlignment="1">
      <alignment horizontal="center"/>
    </xf>
    <xf numFmtId="3" fontId="9" fillId="0" borderId="14" xfId="0" applyNumberFormat="1" applyFont="1" applyBorder="1" applyAlignment="1">
      <alignment horizontal="center"/>
    </xf>
    <xf numFmtId="0" fontId="0" fillId="0" borderId="12" xfId="0" applyBorder="1" applyAlignment="1">
      <alignment horizontal="center"/>
    </xf>
    <xf numFmtId="3" fontId="0" fillId="0" borderId="13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1" xfId="0" applyNumberFormat="1" applyBorder="1"/>
    <xf numFmtId="1" fontId="0" fillId="0" borderId="10" xfId="0" applyNumberFormat="1" applyBorder="1" applyAlignment="1">
      <alignment horizontal="center"/>
    </xf>
    <xf numFmtId="1" fontId="0" fillId="0" borderId="10" xfId="0" applyNumberFormat="1" applyBorder="1"/>
    <xf numFmtId="1" fontId="9" fillId="0" borderId="13" xfId="0" applyNumberFormat="1" applyFont="1" applyBorder="1"/>
    <xf numFmtId="3" fontId="9" fillId="0" borderId="13" xfId="0" applyNumberFormat="1" applyFont="1" applyFill="1" applyBorder="1" applyAlignment="1">
      <alignment horizontal="center"/>
    </xf>
    <xf numFmtId="3" fontId="9" fillId="0" borderId="13" xfId="0" applyNumberFormat="1" applyFont="1" applyBorder="1"/>
    <xf numFmtId="1" fontId="9" fillId="0" borderId="33" xfId="0" applyNumberFormat="1" applyFont="1" applyBorder="1"/>
    <xf numFmtId="1" fontId="9" fillId="0" borderId="21" xfId="0" applyNumberFormat="1" applyFont="1" applyBorder="1"/>
    <xf numFmtId="0" fontId="0" fillId="0" borderId="33" xfId="0" applyBorder="1"/>
    <xf numFmtId="0" fontId="9" fillId="0" borderId="21" xfId="0" applyFont="1" applyBorder="1"/>
    <xf numFmtId="3" fontId="0" fillId="0" borderId="17" xfId="0" applyNumberFormat="1" applyBorder="1" applyAlignment="1">
      <alignment horizontal="center"/>
    </xf>
    <xf numFmtId="1" fontId="0" fillId="0" borderId="17" xfId="0" applyNumberFormat="1" applyBorder="1" applyAlignment="1">
      <alignment horizontal="center"/>
    </xf>
    <xf numFmtId="1" fontId="0" fillId="0" borderId="17" xfId="0" applyNumberFormat="1" applyBorder="1"/>
    <xf numFmtId="0" fontId="0" fillId="0" borderId="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3" fontId="0" fillId="0" borderId="27" xfId="0" applyNumberFormat="1" applyBorder="1" applyAlignment="1">
      <alignment horizontal="center"/>
    </xf>
    <xf numFmtId="3" fontId="0" fillId="0" borderId="20" xfId="0" applyNumberFormat="1" applyBorder="1" applyAlignment="1">
      <alignment horizontal="center"/>
    </xf>
    <xf numFmtId="3" fontId="0" fillId="0" borderId="44" xfId="0" applyNumberFormat="1" applyBorder="1" applyAlignment="1">
      <alignment horizontal="center"/>
    </xf>
    <xf numFmtId="1" fontId="0" fillId="0" borderId="18" xfId="0" applyNumberFormat="1" applyBorder="1" applyAlignment="1">
      <alignment horizontal="center"/>
    </xf>
    <xf numFmtId="4" fontId="9" fillId="0" borderId="0" xfId="0" applyNumberFormat="1" applyFont="1"/>
    <xf numFmtId="0" fontId="35" fillId="0" borderId="0" xfId="0" applyFont="1" applyFill="1" applyBorder="1" applyAlignment="1">
      <alignment horizontal="left"/>
    </xf>
    <xf numFmtId="3" fontId="0" fillId="0" borderId="5" xfId="0" applyNumberFormat="1" applyBorder="1" applyAlignment="1">
      <alignment horizontal="center"/>
    </xf>
    <xf numFmtId="3" fontId="0" fillId="0" borderId="8" xfId="0" applyNumberFormat="1" applyBorder="1" applyAlignment="1">
      <alignment horizontal="center"/>
    </xf>
    <xf numFmtId="3" fontId="0" fillId="0" borderId="18" xfId="0" applyNumberFormat="1" applyBorder="1" applyAlignment="1">
      <alignment horizontal="center"/>
    </xf>
    <xf numFmtId="2" fontId="0" fillId="0" borderId="14" xfId="0" applyNumberFormat="1" applyBorder="1" applyAlignment="1">
      <alignment horizontal="center" vertical="center" wrapText="1"/>
    </xf>
    <xf numFmtId="2" fontId="0" fillId="0" borderId="33" xfId="0" applyNumberFormat="1" applyBorder="1" applyAlignment="1">
      <alignment horizontal="center" vertical="center" wrapText="1"/>
    </xf>
    <xf numFmtId="2" fontId="0" fillId="0" borderId="21" xfId="0" applyNumberFormat="1" applyBorder="1" applyAlignment="1">
      <alignment horizontal="center" vertical="center" wrapText="1"/>
    </xf>
    <xf numFmtId="0" fontId="8" fillId="0" borderId="30" xfId="0" applyFont="1" applyBorder="1" applyAlignment="1">
      <alignment horizontal="left" vertical="center" wrapText="1"/>
    </xf>
    <xf numFmtId="0" fontId="0" fillId="0" borderId="31" xfId="0" applyBorder="1" applyAlignment="1">
      <alignment horizontal="left" vertical="center" wrapText="1"/>
    </xf>
    <xf numFmtId="0" fontId="4" fillId="0" borderId="0" xfId="0" applyFont="1" applyBorder="1" applyAlignment="1">
      <alignment horizontal="left" wrapText="1"/>
    </xf>
    <xf numFmtId="0" fontId="4" fillId="0" borderId="0" xfId="0" applyFont="1" applyAlignment="1">
      <alignment horizontal="left" wrapText="1"/>
    </xf>
    <xf numFmtId="0" fontId="8" fillId="0" borderId="28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20" fillId="0" borderId="0" xfId="0" applyFont="1" applyAlignment="1">
      <alignment horizontal="left" wrapText="1"/>
    </xf>
    <xf numFmtId="0" fontId="9" fillId="0" borderId="0" xfId="0" applyFont="1" applyAlignment="1">
      <alignment horizontal="left" wrapText="1"/>
    </xf>
    <xf numFmtId="0" fontId="21" fillId="0" borderId="0" xfId="0" applyFont="1" applyAlignment="1">
      <alignment horizontal="left" wrapText="1"/>
    </xf>
    <xf numFmtId="0" fontId="9" fillId="0" borderId="0" xfId="0" applyFont="1" applyBorder="1" applyAlignment="1">
      <alignment horizontal="center" wrapText="1"/>
    </xf>
    <xf numFmtId="0" fontId="0" fillId="0" borderId="0" xfId="0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horizontal="right" vertical="center" wrapText="1"/>
    </xf>
    <xf numFmtId="0" fontId="15" fillId="0" borderId="0" xfId="0" applyFont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23" fillId="0" borderId="0" xfId="0" applyFont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2" fillId="2" borderId="0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26" xfId="0" applyBorder="1" applyAlignment="1">
      <alignment horizontal="center"/>
    </xf>
    <xf numFmtId="0" fontId="26" fillId="0" borderId="0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28" fillId="0" borderId="1" xfId="0" applyFont="1" applyBorder="1" applyAlignment="1">
      <alignment horizontal="center" wrapText="1"/>
    </xf>
    <xf numFmtId="0" fontId="28" fillId="0" borderId="0" xfId="0" applyFont="1" applyAlignment="1">
      <alignment horizontal="center" wrapText="1"/>
    </xf>
    <xf numFmtId="0" fontId="29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0" fillId="0" borderId="19" xfId="0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20" xfId="0" applyBorder="1" applyAlignment="1">
      <alignment horizontal="center"/>
    </xf>
    <xf numFmtId="0" fontId="36" fillId="0" borderId="2" xfId="0" applyFont="1" applyBorder="1" applyAlignment="1">
      <alignment horizontal="center" vertical="center" wrapText="1"/>
    </xf>
    <xf numFmtId="0" fontId="36" fillId="0" borderId="4" xfId="0" applyFont="1" applyBorder="1" applyAlignment="1">
      <alignment horizontal="center" vertical="center" wrapText="1"/>
    </xf>
    <xf numFmtId="0" fontId="36" fillId="0" borderId="6" xfId="0" applyFont="1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36" fillId="0" borderId="25" xfId="0" applyFont="1" applyBorder="1" applyAlignment="1">
      <alignment horizontal="center" vertical="center" wrapText="1"/>
    </xf>
    <xf numFmtId="0" fontId="36" fillId="0" borderId="5" xfId="0" applyFont="1" applyBorder="1" applyAlignment="1">
      <alignment horizontal="center" vertical="center" wrapText="1"/>
    </xf>
    <xf numFmtId="0" fontId="36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36" fillId="0" borderId="3" xfId="0" applyFont="1" applyBorder="1" applyAlignment="1">
      <alignment horizontal="center" vertical="center" wrapText="1"/>
    </xf>
    <xf numFmtId="0" fontId="9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9" fillId="0" borderId="1" xfId="0" applyFont="1" applyBorder="1" applyAlignment="1">
      <alignment horizontal="center"/>
    </xf>
    <xf numFmtId="0" fontId="0" fillId="0" borderId="40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3" borderId="1" xfId="0" applyFill="1" applyBorder="1" applyAlignment="1">
      <alignment horizontal="left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36" fillId="0" borderId="15" xfId="0" applyFont="1" applyBorder="1" applyAlignment="1">
      <alignment horizontal="center" vertical="center" wrapText="1"/>
    </xf>
    <xf numFmtId="0" fontId="36" fillId="0" borderId="19" xfId="0" applyFont="1" applyBorder="1" applyAlignment="1">
      <alignment horizontal="center" vertical="center" wrapText="1"/>
    </xf>
    <xf numFmtId="0" fontId="36" fillId="0" borderId="36" xfId="0" applyFont="1" applyBorder="1" applyAlignment="1">
      <alignment horizontal="center" vertical="center" wrapText="1"/>
    </xf>
    <xf numFmtId="2" fontId="0" fillId="0" borderId="0" xfId="0" applyNumberFormat="1" applyAlignment="1">
      <alignment wrapText="1"/>
    </xf>
    <xf numFmtId="0" fontId="9" fillId="0" borderId="0" xfId="0" applyFont="1" applyAlignment="1">
      <alignment horizontal="center" wrapText="1"/>
    </xf>
    <xf numFmtId="0" fontId="0" fillId="0" borderId="32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3" fontId="0" fillId="0" borderId="27" xfId="0" applyNumberFormat="1" applyBorder="1" applyAlignment="1">
      <alignment horizontal="center" vertical="center" wrapText="1"/>
    </xf>
    <xf numFmtId="3" fontId="0" fillId="0" borderId="20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4" fontId="0" fillId="0" borderId="20" xfId="0" applyNumberFormat="1" applyBorder="1" applyAlignment="1">
      <alignment horizontal="center" vertical="center" wrapText="1"/>
    </xf>
    <xf numFmtId="0" fontId="0" fillId="0" borderId="22" xfId="0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0" fillId="0" borderId="24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7" xfId="0" applyBorder="1" applyAlignment="1">
      <alignment vertical="center" wrapText="1"/>
    </xf>
    <xf numFmtId="0" fontId="0" fillId="0" borderId="5" xfId="0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2" fontId="0" fillId="0" borderId="0" xfId="0" applyNumberFormat="1" applyAlignment="1">
      <alignment horizontal="center"/>
    </xf>
    <xf numFmtId="0" fontId="41" fillId="0" borderId="1" xfId="0" applyFont="1" applyBorder="1" applyAlignment="1">
      <alignment horizontal="center"/>
    </xf>
    <xf numFmtId="0" fontId="40" fillId="0" borderId="1" xfId="0" applyFont="1" applyBorder="1" applyAlignment="1">
      <alignment horizontal="center" vertical="center" wrapText="1"/>
    </xf>
    <xf numFmtId="0" fontId="41" fillId="0" borderId="2" xfId="0" applyFont="1" applyBorder="1" applyAlignment="1">
      <alignment horizontal="center" vertical="center" wrapText="1"/>
    </xf>
    <xf numFmtId="0" fontId="41" fillId="0" borderId="3" xfId="0" applyFont="1" applyBorder="1" applyAlignment="1">
      <alignment horizontal="center" vertical="center" wrapText="1"/>
    </xf>
    <xf numFmtId="0" fontId="41" fillId="0" borderId="25" xfId="0" applyFont="1" applyBorder="1" applyAlignment="1">
      <alignment horizontal="center" vertical="center" wrapText="1"/>
    </xf>
    <xf numFmtId="0" fontId="41" fillId="0" borderId="7" xfId="0" applyFont="1" applyBorder="1" applyAlignment="1">
      <alignment horizontal="center"/>
    </xf>
    <xf numFmtId="0" fontId="40" fillId="0" borderId="7" xfId="0" applyFont="1" applyBorder="1" applyAlignment="1">
      <alignment horizontal="center" vertical="center" wrapText="1"/>
    </xf>
    <xf numFmtId="0" fontId="41" fillId="0" borderId="17" xfId="0" applyFont="1" applyBorder="1" applyAlignment="1">
      <alignment horizontal="center"/>
    </xf>
    <xf numFmtId="0" fontId="40" fillId="0" borderId="17" xfId="0" applyFont="1" applyBorder="1" applyAlignment="1">
      <alignment horizontal="center" vertical="center" wrapText="1"/>
    </xf>
    <xf numFmtId="0" fontId="41" fillId="0" borderId="7" xfId="0" applyFont="1" applyBorder="1" applyAlignment="1">
      <alignment horizontal="center" vertical="center" wrapText="1"/>
    </xf>
    <xf numFmtId="0" fontId="41" fillId="0" borderId="32" xfId="0" applyFont="1" applyBorder="1" applyAlignment="1">
      <alignment horizontal="center" vertical="center" wrapText="1"/>
    </xf>
    <xf numFmtId="0" fontId="41" fillId="0" borderId="24" xfId="0" applyFont="1" applyBorder="1" applyAlignment="1">
      <alignment horizontal="center" vertical="center" wrapText="1"/>
    </xf>
    <xf numFmtId="0" fontId="41" fillId="0" borderId="22" xfId="0" applyFont="1" applyBorder="1" applyAlignment="1">
      <alignment wrapText="1"/>
    </xf>
    <xf numFmtId="0" fontId="41" fillId="0" borderId="23" xfId="0" applyFont="1" applyBorder="1" applyAlignment="1">
      <alignment wrapText="1"/>
    </xf>
    <xf numFmtId="0" fontId="41" fillId="0" borderId="24" xfId="0" applyFont="1" applyBorder="1" applyAlignment="1">
      <alignment wrapText="1"/>
    </xf>
    <xf numFmtId="0" fontId="41" fillId="0" borderId="6" xfId="0" applyFont="1" applyBorder="1" applyAlignment="1">
      <alignment horizontal="center" vertical="center" wrapText="1"/>
    </xf>
    <xf numFmtId="0" fontId="41" fillId="0" borderId="8" xfId="0" applyFont="1" applyBorder="1" applyAlignment="1">
      <alignment horizontal="center" vertical="center" wrapText="1"/>
    </xf>
    <xf numFmtId="0" fontId="41" fillId="0" borderId="16" xfId="0" applyFont="1" applyBorder="1" applyAlignment="1">
      <alignment horizontal="center"/>
    </xf>
    <xf numFmtId="2" fontId="41" fillId="0" borderId="18" xfId="0" applyNumberFormat="1" applyFont="1" applyBorder="1" applyAlignment="1">
      <alignment horizontal="center"/>
    </xf>
    <xf numFmtId="0" fontId="41" fillId="0" borderId="4" xfId="0" applyFont="1" applyBorder="1" applyAlignment="1">
      <alignment horizontal="center"/>
    </xf>
    <xf numFmtId="2" fontId="41" fillId="0" borderId="5" xfId="0" applyNumberFormat="1" applyFont="1" applyBorder="1" applyAlignment="1">
      <alignment horizontal="center"/>
    </xf>
    <xf numFmtId="0" fontId="41" fillId="0" borderId="6" xfId="0" applyFont="1" applyBorder="1" applyAlignment="1">
      <alignment horizontal="center"/>
    </xf>
    <xf numFmtId="2" fontId="41" fillId="0" borderId="8" xfId="0" applyNumberFormat="1" applyFont="1" applyBorder="1" applyAlignment="1">
      <alignment horizontal="center"/>
    </xf>
    <xf numFmtId="0" fontId="40" fillId="0" borderId="16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0" fontId="40" fillId="0" borderId="4" xfId="0" applyFont="1" applyBorder="1" applyAlignment="1">
      <alignment horizontal="center" vertical="center" wrapText="1"/>
    </xf>
    <xf numFmtId="0" fontId="40" fillId="0" borderId="5" xfId="0" applyFont="1" applyBorder="1" applyAlignment="1">
      <alignment horizontal="center" vertical="center" wrapText="1"/>
    </xf>
    <xf numFmtId="0" fontId="40" fillId="0" borderId="6" xfId="0" applyFont="1" applyBorder="1" applyAlignment="1">
      <alignment horizontal="center" vertical="center" wrapText="1"/>
    </xf>
    <xf numFmtId="0" fontId="40" fillId="0" borderId="8" xfId="0" applyFont="1" applyBorder="1" applyAlignment="1">
      <alignment horizontal="center" vertical="center" wrapText="1"/>
    </xf>
    <xf numFmtId="166" fontId="41" fillId="0" borderId="22" xfId="0" applyNumberFormat="1" applyFont="1" applyBorder="1" applyAlignment="1">
      <alignment horizontal="center"/>
    </xf>
    <xf numFmtId="166" fontId="41" fillId="0" borderId="31" xfId="0" applyNumberFormat="1" applyFont="1" applyBorder="1" applyAlignment="1">
      <alignment horizontal="center"/>
    </xf>
    <xf numFmtId="0" fontId="40" fillId="0" borderId="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-1.3159448818897638E-2"/>
                  <c:y val="-4.6494705403203912E-2"/>
                </c:manualLayout>
              </c:layout>
              <c:numFmt formatCode="General" sourceLinked="0"/>
            </c:trendlineLbl>
          </c:trendline>
          <c:xVal>
            <c:numRef>
              <c:f>'Тема 5'!$D$8:$D$22</c:f>
              <c:numCache>
                <c:formatCode>General</c:formatCode>
                <c:ptCount val="15"/>
                <c:pt idx="0" formatCode="#,##0">
                  <c:v>6375</c:v>
                </c:pt>
                <c:pt idx="1">
                  <c:v>483</c:v>
                </c:pt>
                <c:pt idx="2">
                  <c:v>919</c:v>
                </c:pt>
                <c:pt idx="3" formatCode="#,##0">
                  <c:v>14050</c:v>
                </c:pt>
                <c:pt idx="4" formatCode="#,##0">
                  <c:v>32146</c:v>
                </c:pt>
                <c:pt idx="5" formatCode="#,##0">
                  <c:v>2064</c:v>
                </c:pt>
                <c:pt idx="6" formatCode="#,##0">
                  <c:v>3379</c:v>
                </c:pt>
                <c:pt idx="7" formatCode="#,##0">
                  <c:v>3753</c:v>
                </c:pt>
                <c:pt idx="8" formatCode="#,##0">
                  <c:v>10105</c:v>
                </c:pt>
                <c:pt idx="9" formatCode="#,##0">
                  <c:v>6582</c:v>
                </c:pt>
                <c:pt idx="10" formatCode="#,##0">
                  <c:v>9263</c:v>
                </c:pt>
                <c:pt idx="11" formatCode="#,##0">
                  <c:v>16418</c:v>
                </c:pt>
                <c:pt idx="12" formatCode="#,##0">
                  <c:v>3695</c:v>
                </c:pt>
                <c:pt idx="13" formatCode="#,##0">
                  <c:v>2627</c:v>
                </c:pt>
                <c:pt idx="14" formatCode="#,##0">
                  <c:v>9431</c:v>
                </c:pt>
              </c:numCache>
            </c:numRef>
          </c:xVal>
          <c:yVal>
            <c:numRef>
              <c:f>'Тема 5'!$C$8:$C$22</c:f>
              <c:numCache>
                <c:formatCode>0.000</c:formatCode>
                <c:ptCount val="15"/>
                <c:pt idx="0">
                  <c:v>4.2518786902179612E-2</c:v>
                </c:pt>
                <c:pt idx="1">
                  <c:v>5.0881448304055173E-2</c:v>
                </c:pt>
                <c:pt idx="2">
                  <c:v>6.2571481744746003E-3</c:v>
                </c:pt>
                <c:pt idx="3">
                  <c:v>7.2515940274154769E-2</c:v>
                </c:pt>
                <c:pt idx="4">
                  <c:v>0.30748552121303041</c:v>
                </c:pt>
                <c:pt idx="5">
                  <c:v>2.3349568003623377E-2</c:v>
                </c:pt>
                <c:pt idx="6">
                  <c:v>3.4958694148310411E-2</c:v>
                </c:pt>
                <c:pt idx="7">
                  <c:v>7.4638547150858506E-2</c:v>
                </c:pt>
                <c:pt idx="8">
                  <c:v>0.11422313577840602</c:v>
                </c:pt>
                <c:pt idx="9">
                  <c:v>4.984823437177914E-2</c:v>
                </c:pt>
                <c:pt idx="10">
                  <c:v>4.1720461921169523E-2</c:v>
                </c:pt>
                <c:pt idx="11">
                  <c:v>7.0123206145940309E-2</c:v>
                </c:pt>
                <c:pt idx="12">
                  <c:v>4.7975865036318552E-2</c:v>
                </c:pt>
                <c:pt idx="13">
                  <c:v>1.3949865437087291E-2</c:v>
                </c:pt>
                <c:pt idx="14">
                  <c:v>4.9553577138612345E-2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79843584"/>
        <c:axId val="279845120"/>
      </c:scatterChart>
      <c:valAx>
        <c:axId val="279843584"/>
        <c:scaling>
          <c:orientation val="minMax"/>
        </c:scaling>
        <c:delete val="0"/>
        <c:axPos val="b"/>
        <c:numFmt formatCode="#,##0" sourceLinked="1"/>
        <c:majorTickMark val="out"/>
        <c:minorTickMark val="none"/>
        <c:tickLblPos val="nextTo"/>
        <c:crossAx val="279845120"/>
        <c:crosses val="autoZero"/>
        <c:crossBetween val="midCat"/>
      </c:valAx>
      <c:valAx>
        <c:axId val="279845120"/>
        <c:scaling>
          <c:orientation val="minMax"/>
        </c:scaling>
        <c:delete val="0"/>
        <c:axPos val="l"/>
        <c:majorGridlines/>
        <c:numFmt formatCode="0.000" sourceLinked="1"/>
        <c:majorTickMark val="out"/>
        <c:minorTickMark val="none"/>
        <c:tickLblPos val="nextTo"/>
        <c:crossAx val="279843584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7179628862181706E-2"/>
          <c:y val="1.7922231086752921E-2"/>
          <c:w val="0.61529838375466228"/>
          <c:h val="0.89382034294171375"/>
        </c:manualLayout>
      </c:layout>
      <c:scatterChart>
        <c:scatterStyle val="lineMarker"/>
        <c:varyColors val="0"/>
        <c:ser>
          <c:idx val="1"/>
          <c:order val="1"/>
          <c:tx>
            <c:v>фактический ряд динамики</c:v>
          </c:tx>
          <c:spPr>
            <a:ln w="53975"/>
          </c:spPr>
          <c:marker>
            <c:symbol val="none"/>
          </c:marker>
          <c:xVal>
            <c:numRef>
              <c:f>'Тема 7'!$B$10:$B$29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'Тема 7'!$C$10:$C$29</c:f>
              <c:numCache>
                <c:formatCode>#,##0.0</c:formatCode>
                <c:ptCount val="20"/>
                <c:pt idx="0">
                  <c:v>696.2</c:v>
                </c:pt>
                <c:pt idx="1">
                  <c:v>735.9</c:v>
                </c:pt>
                <c:pt idx="2">
                  <c:v>1052.0999999999999</c:v>
                </c:pt>
                <c:pt idx="3">
                  <c:v>1350.4</c:v>
                </c:pt>
                <c:pt idx="4">
                  <c:v>1445.5</c:v>
                </c:pt>
                <c:pt idx="5">
                  <c:v>1468.7</c:v>
                </c:pt>
                <c:pt idx="6">
                  <c:v>1130.0999999999999</c:v>
                </c:pt>
                <c:pt idx="7">
                  <c:v>1229</c:v>
                </c:pt>
                <c:pt idx="8">
                  <c:v>1490.9</c:v>
                </c:pt>
                <c:pt idx="9">
                  <c:v>1658</c:v>
                </c:pt>
                <c:pt idx="10">
                  <c:v>2068.1</c:v>
                </c:pt>
                <c:pt idx="11">
                  <c:v>2874.2</c:v>
                </c:pt>
                <c:pt idx="12">
                  <c:v>3771.3</c:v>
                </c:pt>
                <c:pt idx="13">
                  <c:v>5291.6</c:v>
                </c:pt>
                <c:pt idx="14">
                  <c:v>6771.6</c:v>
                </c:pt>
                <c:pt idx="15">
                  <c:v>8513.5</c:v>
                </c:pt>
                <c:pt idx="16">
                  <c:v>7164.8</c:v>
                </c:pt>
                <c:pt idx="17">
                  <c:v>9070</c:v>
                </c:pt>
                <c:pt idx="18">
                  <c:v>11356.6</c:v>
                </c:pt>
                <c:pt idx="19">
                  <c:v>12118.9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647872"/>
        <c:axId val="165649408"/>
      </c:scatterChart>
      <c:scatterChart>
        <c:scatterStyle val="smoothMarker"/>
        <c:varyColors val="0"/>
        <c:ser>
          <c:idx val="0"/>
          <c:order val="0"/>
          <c:tx>
            <c:v>3 периода в интервале сглаживания</c:v>
          </c:tx>
          <c:marker>
            <c:symbol val="none"/>
          </c:marker>
          <c:xVal>
            <c:numRef>
              <c:f>'Тема 7'!$B$11:$B$28</c:f>
              <c:numCache>
                <c:formatCode>General</c:formatCode>
                <c:ptCount val="18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  <c:pt idx="11">
                  <c:v>13</c:v>
                </c:pt>
                <c:pt idx="12">
                  <c:v>14</c:v>
                </c:pt>
                <c:pt idx="13">
                  <c:v>15</c:v>
                </c:pt>
                <c:pt idx="14">
                  <c:v>16</c:v>
                </c:pt>
                <c:pt idx="15">
                  <c:v>17</c:v>
                </c:pt>
                <c:pt idx="16">
                  <c:v>18</c:v>
                </c:pt>
                <c:pt idx="17">
                  <c:v>19</c:v>
                </c:pt>
              </c:numCache>
            </c:numRef>
          </c:xVal>
          <c:yVal>
            <c:numRef>
              <c:f>'Тема 7'!$D$11:$D$28</c:f>
              <c:numCache>
                <c:formatCode>#,##0.0</c:formatCode>
                <c:ptCount val="18"/>
                <c:pt idx="0">
                  <c:v>828.06666666666661</c:v>
                </c:pt>
                <c:pt idx="1">
                  <c:v>1046.1333333333334</c:v>
                </c:pt>
                <c:pt idx="2">
                  <c:v>1282.6666666666667</c:v>
                </c:pt>
                <c:pt idx="3">
                  <c:v>1421.5333333333335</c:v>
                </c:pt>
                <c:pt idx="4">
                  <c:v>1348.1</c:v>
                </c:pt>
                <c:pt idx="5">
                  <c:v>1275.9333333333334</c:v>
                </c:pt>
                <c:pt idx="6">
                  <c:v>1283.3333333333333</c:v>
                </c:pt>
                <c:pt idx="7">
                  <c:v>1459.3</c:v>
                </c:pt>
                <c:pt idx="8">
                  <c:v>1739</c:v>
                </c:pt>
                <c:pt idx="9">
                  <c:v>2200.1</c:v>
                </c:pt>
                <c:pt idx="10">
                  <c:v>2904.5333333333328</c:v>
                </c:pt>
                <c:pt idx="11">
                  <c:v>3979.0333333333333</c:v>
                </c:pt>
                <c:pt idx="12">
                  <c:v>5278.166666666667</c:v>
                </c:pt>
                <c:pt idx="13">
                  <c:v>6858.9000000000005</c:v>
                </c:pt>
                <c:pt idx="14">
                  <c:v>7483.3</c:v>
                </c:pt>
                <c:pt idx="15">
                  <c:v>8249.4333333333325</c:v>
                </c:pt>
                <c:pt idx="16">
                  <c:v>9197.1333333333332</c:v>
                </c:pt>
                <c:pt idx="17">
                  <c:v>10848.5</c:v>
                </c:pt>
              </c:numCache>
            </c:numRef>
          </c:yVal>
          <c:smooth val="1"/>
        </c:ser>
        <c:ser>
          <c:idx val="2"/>
          <c:order val="2"/>
          <c:tx>
            <c:v>5 периодов в интервале сглаживания</c:v>
          </c:tx>
          <c:marker>
            <c:symbol val="none"/>
          </c:marker>
          <c:xVal>
            <c:numRef>
              <c:f>'Тема 7'!$B$12:$B$27</c:f>
              <c:numCache>
                <c:formatCode>General</c:formatCode>
                <c:ptCount val="16"/>
                <c:pt idx="0">
                  <c:v>3</c:v>
                </c:pt>
                <c:pt idx="1">
                  <c:v>4</c:v>
                </c:pt>
                <c:pt idx="2">
                  <c:v>5</c:v>
                </c:pt>
                <c:pt idx="3">
                  <c:v>6</c:v>
                </c:pt>
                <c:pt idx="4">
                  <c:v>7</c:v>
                </c:pt>
                <c:pt idx="5">
                  <c:v>8</c:v>
                </c:pt>
                <c:pt idx="6">
                  <c:v>9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</c:numCache>
            </c:numRef>
          </c:xVal>
          <c:yVal>
            <c:numRef>
              <c:f>'Тема 7'!$E$12:$E$27</c:f>
              <c:numCache>
                <c:formatCode>#,##0.0</c:formatCode>
                <c:ptCount val="16"/>
                <c:pt idx="0">
                  <c:v>1056.02</c:v>
                </c:pt>
                <c:pt idx="1">
                  <c:v>1210.52</c:v>
                </c:pt>
                <c:pt idx="2">
                  <c:v>1289.3599999999999</c:v>
                </c:pt>
                <c:pt idx="3">
                  <c:v>1324.7400000000002</c:v>
                </c:pt>
                <c:pt idx="4">
                  <c:v>1352.8399999999997</c:v>
                </c:pt>
                <c:pt idx="5">
                  <c:v>1395.3400000000001</c:v>
                </c:pt>
                <c:pt idx="6">
                  <c:v>1515.22</c:v>
                </c:pt>
                <c:pt idx="7">
                  <c:v>1864.0400000000002</c:v>
                </c:pt>
                <c:pt idx="8">
                  <c:v>2372.5</c:v>
                </c:pt>
                <c:pt idx="9">
                  <c:v>3132.64</c:v>
                </c:pt>
                <c:pt idx="10">
                  <c:v>4155.3599999999997</c:v>
                </c:pt>
                <c:pt idx="11">
                  <c:v>5444.4400000000005</c:v>
                </c:pt>
                <c:pt idx="12">
                  <c:v>6302.5599999999995</c:v>
                </c:pt>
                <c:pt idx="13">
                  <c:v>7362.3</c:v>
                </c:pt>
                <c:pt idx="14">
                  <c:v>8575.2999999999993</c:v>
                </c:pt>
                <c:pt idx="15">
                  <c:v>9644.76</c:v>
                </c:pt>
              </c:numCache>
            </c:numRef>
          </c:yVal>
          <c:smooth val="1"/>
        </c:ser>
        <c:ser>
          <c:idx val="3"/>
          <c:order val="3"/>
          <c:tx>
            <c:v>4 периода в интервале сглаживания</c:v>
          </c:tx>
          <c:marker>
            <c:symbol val="none"/>
          </c:marker>
          <c:xVal>
            <c:numRef>
              <c:f>'Тема 7'!$B$12:$B$27</c:f>
              <c:numCache>
                <c:formatCode>General</c:formatCode>
                <c:ptCount val="16"/>
                <c:pt idx="0">
                  <c:v>3</c:v>
                </c:pt>
                <c:pt idx="1">
                  <c:v>4</c:v>
                </c:pt>
                <c:pt idx="2">
                  <c:v>5</c:v>
                </c:pt>
                <c:pt idx="3">
                  <c:v>6</c:v>
                </c:pt>
                <c:pt idx="4">
                  <c:v>7</c:v>
                </c:pt>
                <c:pt idx="5">
                  <c:v>8</c:v>
                </c:pt>
                <c:pt idx="6">
                  <c:v>9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</c:numCache>
            </c:numRef>
          </c:xVal>
          <c:yVal>
            <c:numRef>
              <c:f>'Тема 7'!$G$12:$G$27</c:f>
              <c:numCache>
                <c:formatCode>#,##0.0</c:formatCode>
                <c:ptCount val="16"/>
                <c:pt idx="0">
                  <c:v>1052.3125</c:v>
                </c:pt>
                <c:pt idx="1">
                  <c:v>1237.5749999999998</c:v>
                </c:pt>
                <c:pt idx="2">
                  <c:v>1338.9250000000002</c:v>
                </c:pt>
                <c:pt idx="3">
                  <c:v>1333.5</c:v>
                </c:pt>
                <c:pt idx="4">
                  <c:v>1324</c:v>
                </c:pt>
                <c:pt idx="5">
                  <c:v>1353.3375000000001</c:v>
                </c:pt>
                <c:pt idx="6">
                  <c:v>1494.25</c:v>
                </c:pt>
                <c:pt idx="7">
                  <c:v>1817.15</c:v>
                </c:pt>
                <c:pt idx="8">
                  <c:v>2307.85</c:v>
                </c:pt>
                <c:pt idx="9">
                  <c:v>3047.0999999999995</c:v>
                </c:pt>
                <c:pt idx="10">
                  <c:v>4089.2375000000002</c:v>
                </c:pt>
                <c:pt idx="11">
                  <c:v>5382.0874999999996</c:v>
                </c:pt>
                <c:pt idx="12">
                  <c:v>6511.1875</c:v>
                </c:pt>
                <c:pt idx="13">
                  <c:v>7407.6750000000002</c:v>
                </c:pt>
                <c:pt idx="14">
                  <c:v>8453.1</c:v>
                </c:pt>
                <c:pt idx="15">
                  <c:v>9476.9000000000015</c:v>
                </c:pt>
              </c:numCache>
            </c:numRef>
          </c:yVal>
          <c:smooth val="1"/>
        </c:ser>
        <c:ser>
          <c:idx val="4"/>
          <c:order val="4"/>
          <c:tx>
            <c:v>6 периодов в интервале сглаживания</c:v>
          </c:tx>
          <c:marker>
            <c:symbol val="none"/>
          </c:marker>
          <c:xVal>
            <c:numRef>
              <c:f>'Тема 7'!$B$13:$B$26</c:f>
              <c:numCache>
                <c:formatCode>General</c:formatCode>
                <c:ptCount val="14"/>
                <c:pt idx="0">
                  <c:v>4</c:v>
                </c:pt>
                <c:pt idx="1">
                  <c:v>5</c:v>
                </c:pt>
                <c:pt idx="2">
                  <c:v>6</c:v>
                </c:pt>
                <c:pt idx="3">
                  <c:v>7</c:v>
                </c:pt>
                <c:pt idx="4">
                  <c:v>8</c:v>
                </c:pt>
                <c:pt idx="5">
                  <c:v>9</c:v>
                </c:pt>
                <c:pt idx="6">
                  <c:v>10</c:v>
                </c:pt>
                <c:pt idx="7">
                  <c:v>11</c:v>
                </c:pt>
                <c:pt idx="8">
                  <c:v>12</c:v>
                </c:pt>
                <c:pt idx="9">
                  <c:v>13</c:v>
                </c:pt>
                <c:pt idx="10">
                  <c:v>14</c:v>
                </c:pt>
                <c:pt idx="11">
                  <c:v>15</c:v>
                </c:pt>
                <c:pt idx="12">
                  <c:v>16</c:v>
                </c:pt>
                <c:pt idx="13">
                  <c:v>17</c:v>
                </c:pt>
              </c:numCache>
            </c:numRef>
          </c:xVal>
          <c:yVal>
            <c:numRef>
              <c:f>'Тема 7'!$I$13:$I$26</c:f>
              <c:numCache>
                <c:formatCode>#,##0.0</c:formatCode>
                <c:ptCount val="14"/>
                <c:pt idx="0">
                  <c:v>1160.9583333333333</c:v>
                </c:pt>
                <c:pt idx="1">
                  <c:v>1238.2083333333333</c:v>
                </c:pt>
                <c:pt idx="2">
                  <c:v>1315.8666666666668</c:v>
                </c:pt>
                <c:pt idx="3">
                  <c:v>1378.0666666666666</c:v>
                </c:pt>
                <c:pt idx="4">
                  <c:v>1455.5833333333335</c:v>
                </c:pt>
                <c:pt idx="5">
                  <c:v>1624.5916666666667</c:v>
                </c:pt>
                <c:pt idx="6">
                  <c:v>1961.8166666666666</c:v>
                </c:pt>
                <c:pt idx="7">
                  <c:v>2520.4666666666662</c:v>
                </c:pt>
                <c:pt idx="8">
                  <c:v>3299.0749999999998</c:v>
                </c:pt>
                <c:pt idx="9">
                  <c:v>4310.4249999999993</c:v>
                </c:pt>
                <c:pt idx="10">
                  <c:v>5306.4416666666666</c:v>
                </c:pt>
                <c:pt idx="11">
                  <c:v>6247.4833333333336</c:v>
                </c:pt>
                <c:pt idx="12">
                  <c:v>7395.9083333333328</c:v>
                </c:pt>
                <c:pt idx="13">
                  <c:v>8596.9583333333321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647872"/>
        <c:axId val="165649408"/>
      </c:scatterChart>
      <c:valAx>
        <c:axId val="165647872"/>
        <c:scaling>
          <c:orientation val="minMax"/>
          <c:max val="25"/>
          <c:min val="1"/>
        </c:scaling>
        <c:delete val="0"/>
        <c:axPos val="b"/>
        <c:numFmt formatCode="General" sourceLinked="1"/>
        <c:majorTickMark val="out"/>
        <c:minorTickMark val="none"/>
        <c:tickLblPos val="nextTo"/>
        <c:crossAx val="165649408"/>
        <c:crosses val="autoZero"/>
        <c:crossBetween val="midCat"/>
        <c:majorUnit val="1"/>
        <c:minorUnit val="1"/>
      </c:valAx>
      <c:valAx>
        <c:axId val="165649408"/>
        <c:scaling>
          <c:orientation val="minMax"/>
          <c:max val="12000"/>
          <c:min val="700"/>
        </c:scaling>
        <c:delete val="0"/>
        <c:axPos val="l"/>
        <c:numFmt formatCode="#,##0.0" sourceLinked="1"/>
        <c:majorTickMark val="out"/>
        <c:minorTickMark val="none"/>
        <c:tickLblPos val="nextTo"/>
        <c:crossAx val="165647872"/>
        <c:crosses val="autoZero"/>
        <c:crossBetween val="midCat"/>
        <c:majorUnit val="400"/>
        <c:minorUnit val="200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5030183727034119E-2"/>
          <c:y val="7.4548702245552642E-2"/>
          <c:w val="0.87297681539807526"/>
          <c:h val="0.8326195683872849"/>
        </c:manualLayout>
      </c:layout>
      <c:scatterChart>
        <c:scatterStyle val="lineMarker"/>
        <c:varyColors val="0"/>
        <c:ser>
          <c:idx val="0"/>
          <c:order val="0"/>
          <c:tx>
            <c:strRef>
              <c:f>'Тема 7'!$A$96:$A$99</c:f>
              <c:strCache>
                <c:ptCount val="1"/>
                <c:pt idx="0">
                  <c:v>Особенности сглаживания взвешенными скользящими средними:  - позволяет выявить тенденцию временного ряда  - с нечетным числом периодов - центрированы, с четным - требуется центрирование  - чем ближе значение к центру интервала сглаживания, тем вес больше</c:v>
                </c:pt>
              </c:strCache>
            </c:strRef>
          </c:tx>
          <c:spPr>
            <a:ln w="28575">
              <a:noFill/>
            </a:ln>
          </c:spPr>
          <c:yVal>
            <c:numRef>
              <c:f>'Тема 7'!$A$100</c:f>
              <c:numCache>
                <c:formatCode>General</c:formatCode>
                <c:ptCount val="1"/>
                <c:pt idx="0">
                  <c:v>0</c:v>
                </c:pt>
              </c:numCache>
            </c:numRef>
          </c:yVal>
          <c:smooth val="0"/>
        </c:ser>
        <c:ser>
          <c:idx val="2"/>
          <c:order val="2"/>
          <c:tx>
            <c:v>2 периода в интервале сглаживания</c:v>
          </c:tx>
          <c:spPr>
            <a:ln w="28575">
              <a:noFill/>
            </a:ln>
          </c:spPr>
          <c:xVal>
            <c:numRef>
              <c:f>'Тема 7'!$B$73:$B$90</c:f>
              <c:numCache>
                <c:formatCode>General</c:formatCode>
                <c:ptCount val="18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  <c:pt idx="11">
                  <c:v>13</c:v>
                </c:pt>
                <c:pt idx="12">
                  <c:v>14</c:v>
                </c:pt>
                <c:pt idx="13">
                  <c:v>15</c:v>
                </c:pt>
                <c:pt idx="14">
                  <c:v>16</c:v>
                </c:pt>
                <c:pt idx="15">
                  <c:v>17</c:v>
                </c:pt>
                <c:pt idx="16">
                  <c:v>18</c:v>
                </c:pt>
                <c:pt idx="17">
                  <c:v>19</c:v>
                </c:pt>
              </c:numCache>
            </c:numRef>
          </c:xVal>
          <c:yVal>
            <c:numRef>
              <c:f>'Тема 7'!$E$73:$E$90</c:f>
              <c:numCache>
                <c:formatCode>General</c:formatCode>
                <c:ptCount val="18"/>
                <c:pt idx="0">
                  <c:v>805.02499999999998</c:v>
                </c:pt>
                <c:pt idx="1">
                  <c:v>1047.625</c:v>
                </c:pt>
                <c:pt idx="2">
                  <c:v>1299.5999999999999</c:v>
                </c:pt>
                <c:pt idx="3">
                  <c:v>1427.5250000000001</c:v>
                </c:pt>
                <c:pt idx="4">
                  <c:v>1378.25</c:v>
                </c:pt>
                <c:pt idx="5">
                  <c:v>1239.4749999999999</c:v>
                </c:pt>
                <c:pt idx="6">
                  <c:v>1269.75</c:v>
                </c:pt>
                <c:pt idx="7">
                  <c:v>1467.2</c:v>
                </c:pt>
                <c:pt idx="8">
                  <c:v>1718.75</c:v>
                </c:pt>
                <c:pt idx="9">
                  <c:v>2167.1</c:v>
                </c:pt>
                <c:pt idx="10">
                  <c:v>2896.95</c:v>
                </c:pt>
                <c:pt idx="11">
                  <c:v>3927.1000000000004</c:v>
                </c:pt>
                <c:pt idx="12">
                  <c:v>5281.5250000000005</c:v>
                </c:pt>
                <c:pt idx="13">
                  <c:v>6837.0750000000007</c:v>
                </c:pt>
                <c:pt idx="14">
                  <c:v>7740.85</c:v>
                </c:pt>
                <c:pt idx="15">
                  <c:v>7978.2749999999996</c:v>
                </c:pt>
                <c:pt idx="16">
                  <c:v>9165.3499999999985</c:v>
                </c:pt>
                <c:pt idx="17">
                  <c:v>10975.525</c:v>
                </c:pt>
              </c:numCache>
            </c:numRef>
          </c:yVal>
          <c:smooth val="0"/>
        </c:ser>
        <c:ser>
          <c:idx val="4"/>
          <c:order val="4"/>
          <c:tx>
            <c:v>4 периода в интервале сглаживания</c:v>
          </c:tx>
          <c:spPr>
            <a:ln w="28575">
              <a:noFill/>
            </a:ln>
          </c:spPr>
          <c:xVal>
            <c:numRef>
              <c:f>'Тема 7'!$B$74:$B$89</c:f>
              <c:numCache>
                <c:formatCode>General</c:formatCode>
                <c:ptCount val="16"/>
                <c:pt idx="0">
                  <c:v>3</c:v>
                </c:pt>
                <c:pt idx="1">
                  <c:v>4</c:v>
                </c:pt>
                <c:pt idx="2">
                  <c:v>5</c:v>
                </c:pt>
                <c:pt idx="3">
                  <c:v>6</c:v>
                </c:pt>
                <c:pt idx="4">
                  <c:v>7</c:v>
                </c:pt>
                <c:pt idx="5">
                  <c:v>8</c:v>
                </c:pt>
                <c:pt idx="6">
                  <c:v>9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</c:numCache>
            </c:numRef>
          </c:xVal>
          <c:yVal>
            <c:numRef>
              <c:f>'Тема 7'!$H$74:$H$89</c:f>
              <c:numCache>
                <c:formatCode>General</c:formatCode>
                <c:ptCount val="16"/>
                <c:pt idx="0">
                  <c:v>1049.96875</c:v>
                </c:pt>
                <c:pt idx="1">
                  <c:v>1268.5875000000001</c:v>
                </c:pt>
                <c:pt idx="2">
                  <c:v>1383.2249999999999</c:v>
                </c:pt>
                <c:pt idx="3">
                  <c:v>1355.875</c:v>
                </c:pt>
                <c:pt idx="4">
                  <c:v>1281.7375</c:v>
                </c:pt>
                <c:pt idx="5">
                  <c:v>1311.54375</c:v>
                </c:pt>
                <c:pt idx="6">
                  <c:v>1480.7250000000001</c:v>
                </c:pt>
                <c:pt idx="7">
                  <c:v>1767.9499999999998</c:v>
                </c:pt>
                <c:pt idx="8">
                  <c:v>2237.4749999999995</c:v>
                </c:pt>
                <c:pt idx="9">
                  <c:v>2972.0249999999996</c:v>
                </c:pt>
                <c:pt idx="10">
                  <c:v>4008.1687499999998</c:v>
                </c:pt>
                <c:pt idx="11">
                  <c:v>5331.8062500000005</c:v>
                </c:pt>
                <c:pt idx="12">
                  <c:v>6674.1312500000004</c:v>
                </c:pt>
                <c:pt idx="13">
                  <c:v>7574.2625000000007</c:v>
                </c:pt>
                <c:pt idx="14">
                  <c:v>8215.6875</c:v>
                </c:pt>
                <c:pt idx="15">
                  <c:v>9321.125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912576"/>
        <c:axId val="165914112"/>
      </c:scatterChart>
      <c:scatterChart>
        <c:scatterStyle val="smoothMarker"/>
        <c:varyColors val="0"/>
        <c:ser>
          <c:idx val="1"/>
          <c:order val="1"/>
          <c:tx>
            <c:v>фактический ряд</c:v>
          </c:tx>
          <c:xVal>
            <c:numRef>
              <c:f>'Тема 7'!$B$72:$B$91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'Тема 7'!$C$72:$C$91</c:f>
              <c:numCache>
                <c:formatCode>#,##0.0</c:formatCode>
                <c:ptCount val="20"/>
                <c:pt idx="0">
                  <c:v>696.2</c:v>
                </c:pt>
                <c:pt idx="1">
                  <c:v>735.9</c:v>
                </c:pt>
                <c:pt idx="2">
                  <c:v>1052.0999999999999</c:v>
                </c:pt>
                <c:pt idx="3">
                  <c:v>1350.4</c:v>
                </c:pt>
                <c:pt idx="4">
                  <c:v>1445.5</c:v>
                </c:pt>
                <c:pt idx="5">
                  <c:v>1468.7</c:v>
                </c:pt>
                <c:pt idx="6">
                  <c:v>1130.0999999999999</c:v>
                </c:pt>
                <c:pt idx="7">
                  <c:v>1229</c:v>
                </c:pt>
                <c:pt idx="8">
                  <c:v>1490.9</c:v>
                </c:pt>
                <c:pt idx="9">
                  <c:v>1658</c:v>
                </c:pt>
                <c:pt idx="10">
                  <c:v>2068.1</c:v>
                </c:pt>
                <c:pt idx="11">
                  <c:v>2874.2</c:v>
                </c:pt>
                <c:pt idx="12">
                  <c:v>3771.3</c:v>
                </c:pt>
                <c:pt idx="13">
                  <c:v>5291.6</c:v>
                </c:pt>
                <c:pt idx="14">
                  <c:v>6771.6</c:v>
                </c:pt>
                <c:pt idx="15">
                  <c:v>8513.5</c:v>
                </c:pt>
                <c:pt idx="16">
                  <c:v>7164.8</c:v>
                </c:pt>
                <c:pt idx="17">
                  <c:v>9070</c:v>
                </c:pt>
                <c:pt idx="18">
                  <c:v>11356.6</c:v>
                </c:pt>
                <c:pt idx="19">
                  <c:v>12118.9</c:v>
                </c:pt>
              </c:numCache>
            </c:numRef>
          </c:yVal>
          <c:smooth val="1"/>
        </c:ser>
        <c:ser>
          <c:idx val="3"/>
          <c:order val="3"/>
          <c:tx>
            <c:v>3 периода в интервале сглаживания</c:v>
          </c:tx>
          <c:xVal>
            <c:numRef>
              <c:f>'Тема 7'!$B$73:$B$90</c:f>
              <c:numCache>
                <c:formatCode>General</c:formatCode>
                <c:ptCount val="18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  <c:pt idx="11">
                  <c:v>13</c:v>
                </c:pt>
                <c:pt idx="12">
                  <c:v>14</c:v>
                </c:pt>
                <c:pt idx="13">
                  <c:v>15</c:v>
                </c:pt>
                <c:pt idx="14">
                  <c:v>16</c:v>
                </c:pt>
                <c:pt idx="15">
                  <c:v>17</c:v>
                </c:pt>
                <c:pt idx="16">
                  <c:v>18</c:v>
                </c:pt>
                <c:pt idx="17">
                  <c:v>19</c:v>
                </c:pt>
              </c:numCache>
            </c:numRef>
          </c:xVal>
          <c:yVal>
            <c:numRef>
              <c:f>'Тема 7'!$F$73:$F$90</c:f>
              <c:numCache>
                <c:formatCode>General</c:formatCode>
                <c:ptCount val="18"/>
                <c:pt idx="0">
                  <c:v>805.02499999999998</c:v>
                </c:pt>
                <c:pt idx="1">
                  <c:v>1047.625</c:v>
                </c:pt>
                <c:pt idx="2">
                  <c:v>1299.5999999999999</c:v>
                </c:pt>
                <c:pt idx="3">
                  <c:v>1427.5249999999999</c:v>
                </c:pt>
                <c:pt idx="4">
                  <c:v>1378.25</c:v>
                </c:pt>
                <c:pt idx="5">
                  <c:v>1239.4749999999999</c:v>
                </c:pt>
                <c:pt idx="6">
                  <c:v>1269.75</c:v>
                </c:pt>
                <c:pt idx="7">
                  <c:v>1467.2</c:v>
                </c:pt>
                <c:pt idx="8">
                  <c:v>1718.75</c:v>
                </c:pt>
                <c:pt idx="9">
                  <c:v>2167.1</c:v>
                </c:pt>
                <c:pt idx="10">
                  <c:v>2896.95</c:v>
                </c:pt>
                <c:pt idx="11">
                  <c:v>3927.1</c:v>
                </c:pt>
                <c:pt idx="12">
                  <c:v>5281.5249999999996</c:v>
                </c:pt>
                <c:pt idx="13">
                  <c:v>6837.0750000000007</c:v>
                </c:pt>
                <c:pt idx="14">
                  <c:v>7740.8499999999995</c:v>
                </c:pt>
                <c:pt idx="15">
                  <c:v>7978.2749999999996</c:v>
                </c:pt>
                <c:pt idx="16">
                  <c:v>9165.35</c:v>
                </c:pt>
                <c:pt idx="17">
                  <c:v>10975.525</c:v>
                </c:pt>
              </c:numCache>
            </c:numRef>
          </c:yVal>
          <c:smooth val="1"/>
        </c:ser>
        <c:ser>
          <c:idx val="5"/>
          <c:order val="5"/>
          <c:tx>
            <c:v>5 периодов</c:v>
          </c:tx>
          <c:xVal>
            <c:numRef>
              <c:f>'Тема 7'!$B$74:$B$89</c:f>
              <c:numCache>
                <c:formatCode>General</c:formatCode>
                <c:ptCount val="16"/>
                <c:pt idx="0">
                  <c:v>3</c:v>
                </c:pt>
                <c:pt idx="1">
                  <c:v>4</c:v>
                </c:pt>
                <c:pt idx="2">
                  <c:v>5</c:v>
                </c:pt>
                <c:pt idx="3">
                  <c:v>6</c:v>
                </c:pt>
                <c:pt idx="4">
                  <c:v>7</c:v>
                </c:pt>
                <c:pt idx="5">
                  <c:v>8</c:v>
                </c:pt>
                <c:pt idx="6">
                  <c:v>9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</c:numCache>
            </c:numRef>
          </c:xVal>
          <c:yVal>
            <c:numRef>
              <c:f>'Тема 7'!$I$74:$I$89</c:f>
              <c:numCache>
                <c:formatCode>General</c:formatCode>
                <c:ptCount val="16"/>
                <c:pt idx="0">
                  <c:v>1049.96875</c:v>
                </c:pt>
                <c:pt idx="1">
                  <c:v>1268.5875000000001</c:v>
                </c:pt>
                <c:pt idx="2">
                  <c:v>1383.2249999999999</c:v>
                </c:pt>
                <c:pt idx="3">
                  <c:v>1355.875</c:v>
                </c:pt>
                <c:pt idx="4">
                  <c:v>1281.7375000000002</c:v>
                </c:pt>
                <c:pt idx="5">
                  <c:v>1311.5437499999998</c:v>
                </c:pt>
                <c:pt idx="6">
                  <c:v>1480.7249999999999</c:v>
                </c:pt>
                <c:pt idx="7">
                  <c:v>1767.95</c:v>
                </c:pt>
                <c:pt idx="8">
                  <c:v>2237.4749999999999</c:v>
                </c:pt>
                <c:pt idx="9">
                  <c:v>2972.0250000000001</c:v>
                </c:pt>
                <c:pt idx="10">
                  <c:v>4008.1687500000003</c:v>
                </c:pt>
                <c:pt idx="11">
                  <c:v>5331.8062499999996</c:v>
                </c:pt>
                <c:pt idx="12">
                  <c:v>6674.1312500000004</c:v>
                </c:pt>
                <c:pt idx="13">
                  <c:v>7574.2624999999998</c:v>
                </c:pt>
                <c:pt idx="14">
                  <c:v>8215.6875</c:v>
                </c:pt>
                <c:pt idx="15">
                  <c:v>9321.125</c:v>
                </c:pt>
              </c:numCache>
            </c:numRef>
          </c:yVal>
          <c:smooth val="1"/>
        </c:ser>
        <c:ser>
          <c:idx val="6"/>
          <c:order val="6"/>
          <c:tx>
            <c:v>6 периодов</c:v>
          </c:tx>
          <c:xVal>
            <c:numRef>
              <c:f>'Тема 7'!$B$75:$B$88</c:f>
              <c:numCache>
                <c:formatCode>General</c:formatCode>
                <c:ptCount val="14"/>
                <c:pt idx="0">
                  <c:v>4</c:v>
                </c:pt>
                <c:pt idx="1">
                  <c:v>5</c:v>
                </c:pt>
                <c:pt idx="2">
                  <c:v>6</c:v>
                </c:pt>
                <c:pt idx="3">
                  <c:v>7</c:v>
                </c:pt>
                <c:pt idx="4">
                  <c:v>8</c:v>
                </c:pt>
                <c:pt idx="5">
                  <c:v>9</c:v>
                </c:pt>
                <c:pt idx="6">
                  <c:v>10</c:v>
                </c:pt>
                <c:pt idx="7">
                  <c:v>11</c:v>
                </c:pt>
                <c:pt idx="8">
                  <c:v>12</c:v>
                </c:pt>
                <c:pt idx="9">
                  <c:v>13</c:v>
                </c:pt>
                <c:pt idx="10">
                  <c:v>14</c:v>
                </c:pt>
                <c:pt idx="11">
                  <c:v>15</c:v>
                </c:pt>
                <c:pt idx="12">
                  <c:v>16</c:v>
                </c:pt>
                <c:pt idx="13">
                  <c:v>17</c:v>
                </c:pt>
              </c:numCache>
            </c:numRef>
          </c:xVal>
          <c:yVal>
            <c:numRef>
              <c:f>'Тема 7'!$K$75:$K$88</c:f>
              <c:numCache>
                <c:formatCode>General</c:formatCode>
                <c:ptCount val="14"/>
                <c:pt idx="0">
                  <c:v>1242.5921874999999</c:v>
                </c:pt>
                <c:pt idx="1">
                  <c:v>1347.7281250000001</c:v>
                </c:pt>
                <c:pt idx="2">
                  <c:v>1344.1781249999999</c:v>
                </c:pt>
                <c:pt idx="3">
                  <c:v>1307.7234375</c:v>
                </c:pt>
                <c:pt idx="4">
                  <c:v>1346.3874999999998</c:v>
                </c:pt>
                <c:pt idx="5">
                  <c:v>1510.2359374999999</c:v>
                </c:pt>
                <c:pt idx="6">
                  <c:v>1813.5250000000001</c:v>
                </c:pt>
                <c:pt idx="7">
                  <c:v>2303.7312499999998</c:v>
                </c:pt>
                <c:pt idx="8">
                  <c:v>3047.4234375000001</c:v>
                </c:pt>
                <c:pt idx="9">
                  <c:v>4080.0421875000002</c:v>
                </c:pt>
                <c:pt idx="10">
                  <c:v>5336.4781249999996</c:v>
                </c:pt>
                <c:pt idx="11">
                  <c:v>6563.5828124999998</c:v>
                </c:pt>
                <c:pt idx="12">
                  <c:v>7509.5859375</c:v>
                </c:pt>
                <c:pt idx="13">
                  <c:v>8331.6906249999993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912576"/>
        <c:axId val="165914112"/>
      </c:scatterChart>
      <c:valAx>
        <c:axId val="165912576"/>
        <c:scaling>
          <c:orientation val="minMax"/>
          <c:max val="25"/>
          <c:min val="1"/>
        </c:scaling>
        <c:delete val="0"/>
        <c:axPos val="b"/>
        <c:numFmt formatCode="General" sourceLinked="1"/>
        <c:majorTickMark val="out"/>
        <c:minorTickMark val="none"/>
        <c:tickLblPos val="nextTo"/>
        <c:crossAx val="165914112"/>
        <c:crosses val="autoZero"/>
        <c:crossBetween val="midCat"/>
        <c:majorUnit val="1"/>
      </c:valAx>
      <c:valAx>
        <c:axId val="165914112"/>
        <c:scaling>
          <c:orientation val="minMax"/>
          <c:max val="13000"/>
          <c:min val="500"/>
        </c:scaling>
        <c:delete val="0"/>
        <c:axPos val="l"/>
        <c:numFmt formatCode="General" sourceLinked="1"/>
        <c:majorTickMark val="out"/>
        <c:minorTickMark val="none"/>
        <c:tickLblPos val="nextTo"/>
        <c:crossAx val="165912576"/>
        <c:crosses val="autoZero"/>
        <c:crossBetween val="midCat"/>
        <c:majorUnit val="400"/>
        <c:minorUnit val="200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сглаженный ряд ВВП</c:v>
          </c:tx>
          <c:spPr>
            <a:ln w="28575">
              <a:noFill/>
            </a:ln>
          </c:spPr>
          <c:xVal>
            <c:numRef>
              <c:f>'Тема 7'!$B$12:$B$27</c:f>
              <c:numCache>
                <c:formatCode>General</c:formatCode>
                <c:ptCount val="16"/>
                <c:pt idx="0">
                  <c:v>3</c:v>
                </c:pt>
                <c:pt idx="1">
                  <c:v>4</c:v>
                </c:pt>
                <c:pt idx="2">
                  <c:v>5</c:v>
                </c:pt>
                <c:pt idx="3">
                  <c:v>6</c:v>
                </c:pt>
                <c:pt idx="4">
                  <c:v>7</c:v>
                </c:pt>
                <c:pt idx="5">
                  <c:v>8</c:v>
                </c:pt>
                <c:pt idx="6">
                  <c:v>9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</c:numCache>
            </c:numRef>
          </c:xVal>
          <c:yVal>
            <c:numRef>
              <c:f>'Тема 7'!$E$12:$E$27</c:f>
              <c:numCache>
                <c:formatCode>#,##0.0</c:formatCode>
                <c:ptCount val="16"/>
                <c:pt idx="0">
                  <c:v>1056.02</c:v>
                </c:pt>
                <c:pt idx="1">
                  <c:v>1210.52</c:v>
                </c:pt>
                <c:pt idx="2">
                  <c:v>1289.3599999999999</c:v>
                </c:pt>
                <c:pt idx="3">
                  <c:v>1324.7400000000002</c:v>
                </c:pt>
                <c:pt idx="4">
                  <c:v>1352.8399999999997</c:v>
                </c:pt>
                <c:pt idx="5">
                  <c:v>1395.3400000000001</c:v>
                </c:pt>
                <c:pt idx="6">
                  <c:v>1515.22</c:v>
                </c:pt>
                <c:pt idx="7">
                  <c:v>1864.0400000000002</c:v>
                </c:pt>
                <c:pt idx="8">
                  <c:v>2372.5</c:v>
                </c:pt>
                <c:pt idx="9">
                  <c:v>3132.64</c:v>
                </c:pt>
                <c:pt idx="10">
                  <c:v>4155.3599999999997</c:v>
                </c:pt>
                <c:pt idx="11">
                  <c:v>5444.4400000000005</c:v>
                </c:pt>
                <c:pt idx="12">
                  <c:v>6302.5599999999995</c:v>
                </c:pt>
                <c:pt idx="13">
                  <c:v>7362.3</c:v>
                </c:pt>
                <c:pt idx="14">
                  <c:v>8575.2999999999993</c:v>
                </c:pt>
                <c:pt idx="15">
                  <c:v>9644.76</c:v>
                </c:pt>
              </c:numCache>
            </c:numRef>
          </c:yVal>
          <c:smooth val="0"/>
        </c:ser>
        <c:ser>
          <c:idx val="1"/>
          <c:order val="1"/>
          <c:tx>
            <c:v>фактические ВВП</c:v>
          </c:tx>
          <c:spPr>
            <a:ln w="28575">
              <a:noFill/>
            </a:ln>
          </c:spPr>
          <c:trendline>
            <c:trendlineType val="poly"/>
            <c:order val="4"/>
            <c:dispRSqr val="1"/>
            <c:dispEq val="1"/>
            <c:trendlineLbl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 baseline="0"/>
                      <a:t>y = -0,42t</a:t>
                    </a:r>
                    <a:r>
                      <a:rPr lang="en-US" baseline="30000"/>
                      <a:t>4</a:t>
                    </a:r>
                    <a:r>
                      <a:rPr lang="en-US" baseline="0"/>
                      <a:t> + 18,438t</a:t>
                    </a:r>
                    <a:r>
                      <a:rPr lang="en-US" baseline="30000"/>
                      <a:t>3</a:t>
                    </a:r>
                    <a:r>
                      <a:rPr lang="en-US" baseline="0"/>
                      <a:t> - 219,13t</a:t>
                    </a:r>
                    <a:r>
                      <a:rPr lang="en-US" baseline="30000"/>
                      <a:t>2</a:t>
                    </a:r>
                    <a:r>
                      <a:rPr lang="en-US" baseline="0"/>
                      <a:t> + 976,21t - 220,74
R² = 0,9807</a:t>
                    </a:r>
                    <a:endParaRPr lang="en-US"/>
                  </a:p>
                </c:rich>
              </c:tx>
              <c:numFmt formatCode="General" sourceLinked="0"/>
            </c:trendlineLbl>
          </c:trendline>
          <c:xVal>
            <c:numRef>
              <c:f>'Тема 7'!$B$10:$B$29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'Тема 7'!$C$10:$C$29</c:f>
              <c:numCache>
                <c:formatCode>#,##0.0</c:formatCode>
                <c:ptCount val="20"/>
                <c:pt idx="0">
                  <c:v>696.2</c:v>
                </c:pt>
                <c:pt idx="1">
                  <c:v>735.9</c:v>
                </c:pt>
                <c:pt idx="2">
                  <c:v>1052.0999999999999</c:v>
                </c:pt>
                <c:pt idx="3">
                  <c:v>1350.4</c:v>
                </c:pt>
                <c:pt idx="4">
                  <c:v>1445.5</c:v>
                </c:pt>
                <c:pt idx="5">
                  <c:v>1468.7</c:v>
                </c:pt>
                <c:pt idx="6">
                  <c:v>1130.0999999999999</c:v>
                </c:pt>
                <c:pt idx="7">
                  <c:v>1229</c:v>
                </c:pt>
                <c:pt idx="8">
                  <c:v>1490.9</c:v>
                </c:pt>
                <c:pt idx="9">
                  <c:v>1658</c:v>
                </c:pt>
                <c:pt idx="10">
                  <c:v>2068.1</c:v>
                </c:pt>
                <c:pt idx="11">
                  <c:v>2874.2</c:v>
                </c:pt>
                <c:pt idx="12">
                  <c:v>3771.3</c:v>
                </c:pt>
                <c:pt idx="13">
                  <c:v>5291.6</c:v>
                </c:pt>
                <c:pt idx="14">
                  <c:v>6771.6</c:v>
                </c:pt>
                <c:pt idx="15">
                  <c:v>8513.5</c:v>
                </c:pt>
                <c:pt idx="16">
                  <c:v>7164.8</c:v>
                </c:pt>
                <c:pt idx="17">
                  <c:v>9070</c:v>
                </c:pt>
                <c:pt idx="18">
                  <c:v>11356.6</c:v>
                </c:pt>
                <c:pt idx="19">
                  <c:v>12118.9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722368"/>
        <c:axId val="165728256"/>
      </c:scatterChart>
      <c:valAx>
        <c:axId val="1657223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65728256"/>
        <c:crosses val="autoZero"/>
        <c:crossBetween val="midCat"/>
      </c:valAx>
      <c:valAx>
        <c:axId val="165728256"/>
        <c:scaling>
          <c:orientation val="minMax"/>
        </c:scaling>
        <c:delete val="0"/>
        <c:axPos val="l"/>
        <c:majorGridlines/>
        <c:numFmt formatCode="#,##0.0" sourceLinked="1"/>
        <c:majorTickMark val="out"/>
        <c:minorTickMark val="none"/>
        <c:tickLblPos val="nextTo"/>
        <c:crossAx val="16572236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4982878795779667E-2"/>
          <c:y val="4.5270212783035148E-2"/>
          <c:w val="0.84838724629619977"/>
          <c:h val="0.92924679500121654"/>
        </c:manualLayout>
      </c:layout>
      <c:scatterChart>
        <c:scatterStyle val="smoothMarker"/>
        <c:varyColors val="0"/>
        <c:ser>
          <c:idx val="0"/>
          <c:order val="0"/>
          <c:xVal>
            <c:numRef>
              <c:f>'Тема 7'!$B$152:$B$171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'Тема 7'!$C$152:$C$171</c:f>
              <c:numCache>
                <c:formatCode>#,##0.0</c:formatCode>
                <c:ptCount val="20"/>
                <c:pt idx="0">
                  <c:v>696.2</c:v>
                </c:pt>
                <c:pt idx="1">
                  <c:v>735.9</c:v>
                </c:pt>
                <c:pt idx="2">
                  <c:v>1052.0999999999999</c:v>
                </c:pt>
                <c:pt idx="3">
                  <c:v>1350.4</c:v>
                </c:pt>
                <c:pt idx="4">
                  <c:v>1445.5</c:v>
                </c:pt>
                <c:pt idx="5">
                  <c:v>1468.7</c:v>
                </c:pt>
                <c:pt idx="6">
                  <c:v>1130.0999999999999</c:v>
                </c:pt>
                <c:pt idx="7">
                  <c:v>1229</c:v>
                </c:pt>
                <c:pt idx="8">
                  <c:v>1490.9</c:v>
                </c:pt>
                <c:pt idx="9">
                  <c:v>1658</c:v>
                </c:pt>
                <c:pt idx="10">
                  <c:v>2068.1</c:v>
                </c:pt>
                <c:pt idx="11">
                  <c:v>2874.2</c:v>
                </c:pt>
                <c:pt idx="12">
                  <c:v>3771.3</c:v>
                </c:pt>
                <c:pt idx="13">
                  <c:v>5291.6</c:v>
                </c:pt>
                <c:pt idx="14">
                  <c:v>6771.6</c:v>
                </c:pt>
                <c:pt idx="15">
                  <c:v>8513.5</c:v>
                </c:pt>
                <c:pt idx="16">
                  <c:v>7164.8</c:v>
                </c:pt>
                <c:pt idx="17">
                  <c:v>9070</c:v>
                </c:pt>
                <c:pt idx="18">
                  <c:v>11356.6</c:v>
                </c:pt>
                <c:pt idx="19">
                  <c:v>12118.9</c:v>
                </c:pt>
              </c:numCache>
            </c:numRef>
          </c:yVal>
          <c:smooth val="1"/>
        </c:ser>
        <c:ser>
          <c:idx val="1"/>
          <c:order val="1"/>
          <c:tx>
            <c:v>сглаженные</c:v>
          </c:tx>
          <c:xVal>
            <c:numRef>
              <c:f>'Тема 7'!$B$152:$B$171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'Тема 7'!$D$152:$D$171</c:f>
              <c:numCache>
                <c:formatCode>General</c:formatCode>
                <c:ptCount val="20"/>
                <c:pt idx="0" formatCode="#,##0.0">
                  <c:v>696.2</c:v>
                </c:pt>
                <c:pt idx="1">
                  <c:v>787.62</c:v>
                </c:pt>
                <c:pt idx="2" formatCode="#,##0.0">
                  <c:v>1052.0999999999999</c:v>
                </c:pt>
                <c:pt idx="3">
                  <c:v>1295.3800000000001</c:v>
                </c:pt>
                <c:pt idx="4" formatCode="#,##0.0">
                  <c:v>1445.5</c:v>
                </c:pt>
                <c:pt idx="5">
                  <c:v>1483.8400000000001</c:v>
                </c:pt>
                <c:pt idx="6" formatCode="#,##0.0">
                  <c:v>1130.0999999999999</c:v>
                </c:pt>
                <c:pt idx="7">
                  <c:v>1242.6399999999999</c:v>
                </c:pt>
                <c:pt idx="8" formatCode="#,##0.0">
                  <c:v>1490.9</c:v>
                </c:pt>
                <c:pt idx="9">
                  <c:v>1785.8</c:v>
                </c:pt>
                <c:pt idx="10" formatCode="#,##0.0">
                  <c:v>2068.1</c:v>
                </c:pt>
                <c:pt idx="11">
                  <c:v>3017.04</c:v>
                </c:pt>
                <c:pt idx="12" formatCode="#,##0.0">
                  <c:v>3771.3</c:v>
                </c:pt>
                <c:pt idx="13">
                  <c:v>5335.92</c:v>
                </c:pt>
                <c:pt idx="14" formatCode="#,##0.0">
                  <c:v>6771.6</c:v>
                </c:pt>
                <c:pt idx="15">
                  <c:v>8546.16</c:v>
                </c:pt>
                <c:pt idx="16" formatCode="#,##0.0">
                  <c:v>7164.8</c:v>
                </c:pt>
                <c:pt idx="17">
                  <c:v>8841.42</c:v>
                </c:pt>
                <c:pt idx="18" formatCode="#,##0.0">
                  <c:v>11356.6</c:v>
                </c:pt>
                <c:pt idx="19">
                  <c:v>11966.439999999999</c:v>
                </c:pt>
              </c:numCache>
            </c:numRef>
          </c:yVal>
          <c:smooth val="1"/>
        </c:ser>
        <c:ser>
          <c:idx val="2"/>
          <c:order val="2"/>
          <c:xVal>
            <c:numRef>
              <c:f>'Тема 7'!$B$152:$B$171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'Тема 7'!$E$152:$E$171</c:f>
              <c:numCache>
                <c:formatCode>General</c:formatCode>
                <c:ptCount val="20"/>
                <c:pt idx="0">
                  <c:v>169.00000000000006</c:v>
                </c:pt>
                <c:pt idx="1">
                  <c:v>104.35</c:v>
                </c:pt>
                <c:pt idx="2">
                  <c:v>160.75000000000011</c:v>
                </c:pt>
                <c:pt idx="3">
                  <c:v>229.52500000000015</c:v>
                </c:pt>
                <c:pt idx="4">
                  <c:v>61.050000000000068</c:v>
                </c:pt>
                <c:pt idx="5">
                  <c:v>42.125000000000057</c:v>
                </c:pt>
                <c:pt idx="6">
                  <c:v>133</c:v>
                </c:pt>
                <c:pt idx="7">
                  <c:v>115.95000000000005</c:v>
                </c:pt>
                <c:pt idx="8">
                  <c:v>486.59999999999991</c:v>
                </c:pt>
                <c:pt idx="9">
                  <c:v>326.84999999999991</c:v>
                </c:pt>
                <c:pt idx="10">
                  <c:v>1163.2</c:v>
                </c:pt>
                <c:pt idx="11">
                  <c:v>984.65</c:v>
                </c:pt>
                <c:pt idx="12">
                  <c:v>1631.1</c:v>
                </c:pt>
                <c:pt idx="13">
                  <c:v>1575.7</c:v>
                </c:pt>
                <c:pt idx="14">
                  <c:v>1823.5499999999997</c:v>
                </c:pt>
                <c:pt idx="15">
                  <c:v>1782.7249999999997</c:v>
                </c:pt>
                <c:pt idx="16">
                  <c:v>1333.7499999999995</c:v>
                </c:pt>
                <c:pt idx="17">
                  <c:v>1619.4749999999997</c:v>
                </c:pt>
                <c:pt idx="18">
                  <c:v>381.14999999999964</c:v>
                </c:pt>
                <c:pt idx="19">
                  <c:v>571.72499999999945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882112"/>
        <c:axId val="165883904"/>
      </c:scatterChart>
      <c:valAx>
        <c:axId val="1658821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65883904"/>
        <c:crosses val="autoZero"/>
        <c:crossBetween val="midCat"/>
      </c:valAx>
      <c:valAx>
        <c:axId val="165883904"/>
        <c:scaling>
          <c:orientation val="minMax"/>
          <c:max val="13000"/>
          <c:min val="600"/>
        </c:scaling>
        <c:delete val="0"/>
        <c:axPos val="l"/>
        <c:numFmt formatCode="#,##0.0" sourceLinked="1"/>
        <c:majorTickMark val="out"/>
        <c:minorTickMark val="none"/>
        <c:tickLblPos val="nextTo"/>
        <c:crossAx val="165882112"/>
        <c:crosses val="autoZero"/>
        <c:crossBetween val="midCat"/>
        <c:majorUnit val="500"/>
        <c:minorUnit val="250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v>фактический временной ряд</c:v>
          </c:tx>
          <c:xVal>
            <c:numRef>
              <c:f>'Тема 7'!$B$204:$B$223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'Тема 7'!$C$204:$C$223</c:f>
              <c:numCache>
                <c:formatCode>#,##0.0</c:formatCode>
                <c:ptCount val="20"/>
                <c:pt idx="0">
                  <c:v>696.2</c:v>
                </c:pt>
                <c:pt idx="1">
                  <c:v>735.9</c:v>
                </c:pt>
                <c:pt idx="2">
                  <c:v>1052.0999999999999</c:v>
                </c:pt>
                <c:pt idx="3">
                  <c:v>1350.4</c:v>
                </c:pt>
                <c:pt idx="4">
                  <c:v>1445.5</c:v>
                </c:pt>
                <c:pt idx="5">
                  <c:v>1468.7</c:v>
                </c:pt>
                <c:pt idx="6">
                  <c:v>1130.0999999999999</c:v>
                </c:pt>
                <c:pt idx="7">
                  <c:v>1229</c:v>
                </c:pt>
                <c:pt idx="8">
                  <c:v>1490.9</c:v>
                </c:pt>
                <c:pt idx="9">
                  <c:v>1658</c:v>
                </c:pt>
                <c:pt idx="10">
                  <c:v>2068.1</c:v>
                </c:pt>
                <c:pt idx="11">
                  <c:v>2874.2</c:v>
                </c:pt>
                <c:pt idx="12">
                  <c:v>3771.3</c:v>
                </c:pt>
                <c:pt idx="13">
                  <c:v>5291.6</c:v>
                </c:pt>
                <c:pt idx="14">
                  <c:v>6771.6</c:v>
                </c:pt>
                <c:pt idx="15">
                  <c:v>8513.5</c:v>
                </c:pt>
                <c:pt idx="16">
                  <c:v>7164.8</c:v>
                </c:pt>
                <c:pt idx="17">
                  <c:v>9070</c:v>
                </c:pt>
                <c:pt idx="18">
                  <c:v>11356.6</c:v>
                </c:pt>
                <c:pt idx="19">
                  <c:v>12118.9</c:v>
                </c:pt>
              </c:numCache>
            </c:numRef>
          </c:yVal>
          <c:smooth val="1"/>
        </c:ser>
        <c:ser>
          <c:idx val="2"/>
          <c:order val="2"/>
          <c:tx>
            <c:v>сглаживание альфа 0.3</c:v>
          </c:tx>
          <c:xVal>
            <c:numRef>
              <c:f>'Тема 7'!$B$204:$B$223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'Тема 7'!$E$204:$E$223</c:f>
              <c:numCache>
                <c:formatCode>0.0</c:formatCode>
                <c:ptCount val="20"/>
                <c:pt idx="0">
                  <c:v>696.2</c:v>
                </c:pt>
                <c:pt idx="1">
                  <c:v>723.99</c:v>
                </c:pt>
                <c:pt idx="2">
                  <c:v>953.66699999999992</c:v>
                </c:pt>
                <c:pt idx="3">
                  <c:v>1231.3800999999999</c:v>
                </c:pt>
                <c:pt idx="4">
                  <c:v>1381.2640299999998</c:v>
                </c:pt>
                <c:pt idx="5">
                  <c:v>1442.4692089999999</c:v>
                </c:pt>
                <c:pt idx="6">
                  <c:v>1223.8107626999999</c:v>
                </c:pt>
                <c:pt idx="7">
                  <c:v>1227.4432288099999</c:v>
                </c:pt>
                <c:pt idx="8">
                  <c:v>1411.8629686430002</c:v>
                </c:pt>
                <c:pt idx="9">
                  <c:v>1584.1588905929</c:v>
                </c:pt>
                <c:pt idx="10">
                  <c:v>1922.9176671778698</c:v>
                </c:pt>
                <c:pt idx="11">
                  <c:v>2588.815300153361</c:v>
                </c:pt>
                <c:pt idx="12">
                  <c:v>3416.5545900460083</c:v>
                </c:pt>
                <c:pt idx="13">
                  <c:v>4729.0863770138021</c:v>
                </c:pt>
                <c:pt idx="14">
                  <c:v>6158.84591310414</c:v>
                </c:pt>
                <c:pt idx="15">
                  <c:v>7807.1037739312414</c:v>
                </c:pt>
                <c:pt idx="16">
                  <c:v>7357.4911321793716</c:v>
                </c:pt>
                <c:pt idx="17">
                  <c:v>8556.2473396538117</c:v>
                </c:pt>
                <c:pt idx="18">
                  <c:v>10516.494201896143</c:v>
                </c:pt>
                <c:pt idx="19">
                  <c:v>11638.178260568842</c:v>
                </c:pt>
              </c:numCache>
            </c:numRef>
          </c:yVal>
          <c:smooth val="1"/>
        </c:ser>
        <c:ser>
          <c:idx val="3"/>
          <c:order val="3"/>
          <c:tx>
            <c:v>сглаживание альфа 0.5</c:v>
          </c:tx>
          <c:xVal>
            <c:numRef>
              <c:f>'Тема 7'!$B$204:$B$223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'Тема 7'!$F$204:$F$223</c:f>
              <c:numCache>
                <c:formatCode>0.0</c:formatCode>
                <c:ptCount val="20"/>
                <c:pt idx="0">
                  <c:v>696.2</c:v>
                </c:pt>
                <c:pt idx="1">
                  <c:v>716.05</c:v>
                </c:pt>
                <c:pt idx="2">
                  <c:v>884.07499999999993</c:v>
                </c:pt>
                <c:pt idx="3">
                  <c:v>1117.2375</c:v>
                </c:pt>
                <c:pt idx="4">
                  <c:v>1281.3687500000001</c:v>
                </c:pt>
                <c:pt idx="5">
                  <c:v>1375.0343750000002</c:v>
                </c:pt>
                <c:pt idx="6">
                  <c:v>1252.5671875</c:v>
                </c:pt>
                <c:pt idx="7">
                  <c:v>1240.7835937499999</c:v>
                </c:pt>
                <c:pt idx="8">
                  <c:v>1365.841796875</c:v>
                </c:pt>
                <c:pt idx="9">
                  <c:v>1511.9208984375</c:v>
                </c:pt>
                <c:pt idx="10">
                  <c:v>1790.01044921875</c:v>
                </c:pt>
                <c:pt idx="11">
                  <c:v>2332.105224609375</c:v>
                </c:pt>
                <c:pt idx="12">
                  <c:v>3051.7026123046876</c:v>
                </c:pt>
                <c:pt idx="13">
                  <c:v>4171.6513061523437</c:v>
                </c:pt>
                <c:pt idx="14">
                  <c:v>5471.6256530761721</c:v>
                </c:pt>
                <c:pt idx="15">
                  <c:v>6992.5628265380856</c:v>
                </c:pt>
                <c:pt idx="16">
                  <c:v>7078.6814132690433</c:v>
                </c:pt>
                <c:pt idx="17">
                  <c:v>8074.3407066345217</c:v>
                </c:pt>
                <c:pt idx="18">
                  <c:v>9715.4703533172615</c:v>
                </c:pt>
                <c:pt idx="19">
                  <c:v>10917.18517665863</c:v>
                </c:pt>
              </c:numCache>
            </c:numRef>
          </c:yVal>
          <c:smooth val="1"/>
        </c:ser>
        <c:ser>
          <c:idx val="4"/>
          <c:order val="4"/>
          <c:tx>
            <c:v>сглаживание альфа 0.7</c:v>
          </c:tx>
          <c:xVal>
            <c:numRef>
              <c:f>'Тема 7'!$B$204:$B$223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'Тема 7'!$G$204:$G$223</c:f>
              <c:numCache>
                <c:formatCode>0.0</c:formatCode>
                <c:ptCount val="20"/>
                <c:pt idx="0">
                  <c:v>696.2</c:v>
                </c:pt>
                <c:pt idx="1">
                  <c:v>708.11</c:v>
                </c:pt>
                <c:pt idx="2">
                  <c:v>811.30700000000002</c:v>
                </c:pt>
                <c:pt idx="3">
                  <c:v>973.03490000000011</c:v>
                </c:pt>
                <c:pt idx="4">
                  <c:v>1114.7744300000002</c:v>
                </c:pt>
                <c:pt idx="5">
                  <c:v>1220.9521010000001</c:v>
                </c:pt>
                <c:pt idx="6">
                  <c:v>1193.6964707</c:v>
                </c:pt>
                <c:pt idx="7">
                  <c:v>1204.28752949</c:v>
                </c:pt>
                <c:pt idx="8">
                  <c:v>1290.2712706430002</c:v>
                </c:pt>
                <c:pt idx="9">
                  <c:v>1400.5898894501001</c:v>
                </c:pt>
                <c:pt idx="10">
                  <c:v>1600.8429226150702</c:v>
                </c:pt>
                <c:pt idx="11">
                  <c:v>1982.8500458305493</c:v>
                </c:pt>
                <c:pt idx="12">
                  <c:v>2519.3850320813845</c:v>
                </c:pt>
                <c:pt idx="13">
                  <c:v>3351.0495224569695</c:v>
                </c:pt>
                <c:pt idx="14">
                  <c:v>4377.2146657198791</c:v>
                </c:pt>
                <c:pt idx="15">
                  <c:v>5618.1002660039157</c:v>
                </c:pt>
                <c:pt idx="16">
                  <c:v>6082.1101862027408</c:v>
                </c:pt>
                <c:pt idx="17">
                  <c:v>6978.4771303419184</c:v>
                </c:pt>
                <c:pt idx="18">
                  <c:v>8291.9139912393439</c:v>
                </c:pt>
                <c:pt idx="19">
                  <c:v>9440.0097938675408</c:v>
                </c:pt>
              </c:numCache>
            </c:numRef>
          </c:yVal>
          <c:smooth val="1"/>
        </c:ser>
        <c:ser>
          <c:idx val="5"/>
          <c:order val="5"/>
          <c:tx>
            <c:v>сглаживание альфа 0.8</c:v>
          </c:tx>
          <c:xVal>
            <c:numRef>
              <c:f>'Тема 7'!$B$204:$B$223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'Тема 7'!$H$204:$H$223</c:f>
              <c:numCache>
                <c:formatCode>0.0</c:formatCode>
                <c:ptCount val="20"/>
                <c:pt idx="0">
                  <c:v>696.2</c:v>
                </c:pt>
                <c:pt idx="1">
                  <c:v>704.14</c:v>
                </c:pt>
                <c:pt idx="2">
                  <c:v>773.73199999999997</c:v>
                </c:pt>
                <c:pt idx="3">
                  <c:v>889.0655999999999</c:v>
                </c:pt>
                <c:pt idx="4">
                  <c:v>1000.3524799999999</c:v>
                </c:pt>
                <c:pt idx="5">
                  <c:v>1094.021984</c:v>
                </c:pt>
                <c:pt idx="6">
                  <c:v>1101.2375872</c:v>
                </c:pt>
                <c:pt idx="7">
                  <c:v>1126.7900697600001</c:v>
                </c:pt>
                <c:pt idx="8">
                  <c:v>1199.6120558080002</c:v>
                </c:pt>
                <c:pt idx="9">
                  <c:v>1291.2896446464001</c:v>
                </c:pt>
                <c:pt idx="10">
                  <c:v>1446.6517157171199</c:v>
                </c:pt>
                <c:pt idx="11">
                  <c:v>1732.1613725736956</c:v>
                </c:pt>
                <c:pt idx="12">
                  <c:v>2139.9890980589566</c:v>
                </c:pt>
                <c:pt idx="13">
                  <c:v>2770.311278447165</c:v>
                </c:pt>
                <c:pt idx="14">
                  <c:v>3570.569022757732</c:v>
                </c:pt>
                <c:pt idx="15">
                  <c:v>4559.1552182061851</c:v>
                </c:pt>
                <c:pt idx="16">
                  <c:v>5080.2841745649484</c:v>
                </c:pt>
                <c:pt idx="17">
                  <c:v>5878.2273396519586</c:v>
                </c:pt>
                <c:pt idx="18">
                  <c:v>6973.9018717215667</c:v>
                </c:pt>
                <c:pt idx="19">
                  <c:v>8002.9014973772537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763328"/>
        <c:axId val="165769216"/>
      </c:scatterChart>
      <c:scatterChart>
        <c:scatterStyle val="lineMarker"/>
        <c:varyColors val="0"/>
        <c:ser>
          <c:idx val="1"/>
          <c:order val="1"/>
          <c:tx>
            <c:v>сглаживание альфа 0.2</c:v>
          </c:tx>
          <c:spPr>
            <a:ln w="28575">
              <a:noFill/>
            </a:ln>
          </c:spPr>
          <c:xVal>
            <c:numRef>
              <c:f>'Тема 7'!$B$204:$B$223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'Тема 7'!$D$204:$D$223</c:f>
              <c:numCache>
                <c:formatCode>0.0</c:formatCode>
                <c:ptCount val="20"/>
                <c:pt idx="0">
                  <c:v>696.2</c:v>
                </c:pt>
                <c:pt idx="1">
                  <c:v>727.96</c:v>
                </c:pt>
                <c:pt idx="2">
                  <c:v>987.27199999999993</c:v>
                </c:pt>
                <c:pt idx="3">
                  <c:v>1277.7744000000002</c:v>
                </c:pt>
                <c:pt idx="4">
                  <c:v>1411.9548800000002</c:v>
                </c:pt>
                <c:pt idx="5">
                  <c:v>1457.3509760000002</c:v>
                </c:pt>
                <c:pt idx="6">
                  <c:v>1195.5501952</c:v>
                </c:pt>
                <c:pt idx="7">
                  <c:v>1222.31003904</c:v>
                </c:pt>
                <c:pt idx="8">
                  <c:v>1437.182007808</c:v>
                </c:pt>
                <c:pt idx="9">
                  <c:v>1613.8364015616</c:v>
                </c:pt>
                <c:pt idx="10">
                  <c:v>1977.2472803123201</c:v>
                </c:pt>
                <c:pt idx="11">
                  <c:v>2694.8094560624641</c:v>
                </c:pt>
                <c:pt idx="12">
                  <c:v>3556.0018912124933</c:v>
                </c:pt>
                <c:pt idx="13">
                  <c:v>4944.4803782424997</c:v>
                </c:pt>
                <c:pt idx="14">
                  <c:v>6406.176075648501</c:v>
                </c:pt>
                <c:pt idx="15">
                  <c:v>8092.0352151297002</c:v>
                </c:pt>
                <c:pt idx="16">
                  <c:v>7350.24704302594</c:v>
                </c:pt>
                <c:pt idx="17">
                  <c:v>8726.0494086051876</c:v>
                </c:pt>
                <c:pt idx="18">
                  <c:v>10830.489881721038</c:v>
                </c:pt>
                <c:pt idx="19">
                  <c:v>11861.217976344209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763328"/>
        <c:axId val="165769216"/>
      </c:scatterChart>
      <c:valAx>
        <c:axId val="165763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65769216"/>
        <c:crosses val="autoZero"/>
        <c:crossBetween val="midCat"/>
      </c:valAx>
      <c:valAx>
        <c:axId val="165769216"/>
        <c:scaling>
          <c:orientation val="minMax"/>
        </c:scaling>
        <c:delete val="0"/>
        <c:axPos val="l"/>
        <c:majorGridlines/>
        <c:numFmt formatCode="#,##0.0" sourceLinked="1"/>
        <c:majorTickMark val="out"/>
        <c:minorTickMark val="none"/>
        <c:tickLblPos val="nextTo"/>
        <c:crossAx val="16576332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v>фактич ВР</c:v>
          </c:tx>
          <c:xVal>
            <c:numRef>
              <c:f>'Тема 7'!$B$10:$B$29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'Тема 7'!$C$10:$C$29</c:f>
              <c:numCache>
                <c:formatCode>#,##0.0</c:formatCode>
                <c:ptCount val="20"/>
                <c:pt idx="0">
                  <c:v>696.2</c:v>
                </c:pt>
                <c:pt idx="1">
                  <c:v>735.9</c:v>
                </c:pt>
                <c:pt idx="2">
                  <c:v>1052.0999999999999</c:v>
                </c:pt>
                <c:pt idx="3">
                  <c:v>1350.4</c:v>
                </c:pt>
                <c:pt idx="4">
                  <c:v>1445.5</c:v>
                </c:pt>
                <c:pt idx="5">
                  <c:v>1468.7</c:v>
                </c:pt>
                <c:pt idx="6">
                  <c:v>1130.0999999999999</c:v>
                </c:pt>
                <c:pt idx="7">
                  <c:v>1229</c:v>
                </c:pt>
                <c:pt idx="8">
                  <c:v>1490.9</c:v>
                </c:pt>
                <c:pt idx="9">
                  <c:v>1658</c:v>
                </c:pt>
                <c:pt idx="10">
                  <c:v>2068.1</c:v>
                </c:pt>
                <c:pt idx="11">
                  <c:v>2874.2</c:v>
                </c:pt>
                <c:pt idx="12">
                  <c:v>3771.3</c:v>
                </c:pt>
                <c:pt idx="13">
                  <c:v>5291.6</c:v>
                </c:pt>
                <c:pt idx="14">
                  <c:v>6771.6</c:v>
                </c:pt>
                <c:pt idx="15">
                  <c:v>8513.5</c:v>
                </c:pt>
                <c:pt idx="16">
                  <c:v>7164.8</c:v>
                </c:pt>
                <c:pt idx="17">
                  <c:v>9070</c:v>
                </c:pt>
                <c:pt idx="18">
                  <c:v>11356.6</c:v>
                </c:pt>
                <c:pt idx="19">
                  <c:v>12118.9</c:v>
                </c:pt>
              </c:numCache>
            </c:numRef>
          </c:yVal>
          <c:smooth val="1"/>
        </c:ser>
        <c:ser>
          <c:idx val="1"/>
          <c:order val="1"/>
          <c:tx>
            <c:v>невзвешенные</c:v>
          </c:tx>
          <c:xVal>
            <c:numRef>
              <c:f>'Тема 7'!$B$11:$B$28</c:f>
              <c:numCache>
                <c:formatCode>General</c:formatCode>
                <c:ptCount val="18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  <c:pt idx="11">
                  <c:v>13</c:v>
                </c:pt>
                <c:pt idx="12">
                  <c:v>14</c:v>
                </c:pt>
                <c:pt idx="13">
                  <c:v>15</c:v>
                </c:pt>
                <c:pt idx="14">
                  <c:v>16</c:v>
                </c:pt>
                <c:pt idx="15">
                  <c:v>17</c:v>
                </c:pt>
                <c:pt idx="16">
                  <c:v>18</c:v>
                </c:pt>
                <c:pt idx="17">
                  <c:v>19</c:v>
                </c:pt>
              </c:numCache>
            </c:numRef>
          </c:xVal>
          <c:yVal>
            <c:numRef>
              <c:f>'Тема 7'!$D$11:$D$28</c:f>
              <c:numCache>
                <c:formatCode>#,##0.0</c:formatCode>
                <c:ptCount val="18"/>
                <c:pt idx="0">
                  <c:v>828.06666666666661</c:v>
                </c:pt>
                <c:pt idx="1">
                  <c:v>1046.1333333333334</c:v>
                </c:pt>
                <c:pt idx="2">
                  <c:v>1282.6666666666667</c:v>
                </c:pt>
                <c:pt idx="3">
                  <c:v>1421.5333333333335</c:v>
                </c:pt>
                <c:pt idx="4">
                  <c:v>1348.1</c:v>
                </c:pt>
                <c:pt idx="5">
                  <c:v>1275.9333333333334</c:v>
                </c:pt>
                <c:pt idx="6">
                  <c:v>1283.3333333333333</c:v>
                </c:pt>
                <c:pt idx="7">
                  <c:v>1459.3</c:v>
                </c:pt>
                <c:pt idx="8">
                  <c:v>1739</c:v>
                </c:pt>
                <c:pt idx="9">
                  <c:v>2200.1</c:v>
                </c:pt>
                <c:pt idx="10">
                  <c:v>2904.5333333333328</c:v>
                </c:pt>
                <c:pt idx="11">
                  <c:v>3979.0333333333333</c:v>
                </c:pt>
                <c:pt idx="12">
                  <c:v>5278.166666666667</c:v>
                </c:pt>
                <c:pt idx="13">
                  <c:v>6858.9000000000005</c:v>
                </c:pt>
                <c:pt idx="14">
                  <c:v>7483.3</c:v>
                </c:pt>
                <c:pt idx="15">
                  <c:v>8249.4333333333325</c:v>
                </c:pt>
                <c:pt idx="16">
                  <c:v>9197.1333333333332</c:v>
                </c:pt>
                <c:pt idx="17">
                  <c:v>10848.5</c:v>
                </c:pt>
              </c:numCache>
            </c:numRef>
          </c:yVal>
          <c:smooth val="1"/>
        </c:ser>
        <c:ser>
          <c:idx val="2"/>
          <c:order val="2"/>
          <c:tx>
            <c:v>взвешенные</c:v>
          </c:tx>
          <c:xVal>
            <c:numRef>
              <c:f>'Тема 7'!$B$73:$B$90</c:f>
              <c:numCache>
                <c:formatCode>General</c:formatCode>
                <c:ptCount val="18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  <c:pt idx="11">
                  <c:v>13</c:v>
                </c:pt>
                <c:pt idx="12">
                  <c:v>14</c:v>
                </c:pt>
                <c:pt idx="13">
                  <c:v>15</c:v>
                </c:pt>
                <c:pt idx="14">
                  <c:v>16</c:v>
                </c:pt>
                <c:pt idx="15">
                  <c:v>17</c:v>
                </c:pt>
                <c:pt idx="16">
                  <c:v>18</c:v>
                </c:pt>
                <c:pt idx="17">
                  <c:v>19</c:v>
                </c:pt>
              </c:numCache>
            </c:numRef>
          </c:xVal>
          <c:yVal>
            <c:numRef>
              <c:f>'Тема 7'!$F$73:$F$90</c:f>
              <c:numCache>
                <c:formatCode>General</c:formatCode>
                <c:ptCount val="18"/>
                <c:pt idx="0">
                  <c:v>805.02499999999998</c:v>
                </c:pt>
                <c:pt idx="1">
                  <c:v>1047.625</c:v>
                </c:pt>
                <c:pt idx="2">
                  <c:v>1299.5999999999999</c:v>
                </c:pt>
                <c:pt idx="3">
                  <c:v>1427.5249999999999</c:v>
                </c:pt>
                <c:pt idx="4">
                  <c:v>1378.25</c:v>
                </c:pt>
                <c:pt idx="5">
                  <c:v>1239.4749999999999</c:v>
                </c:pt>
                <c:pt idx="6">
                  <c:v>1269.75</c:v>
                </c:pt>
                <c:pt idx="7">
                  <c:v>1467.2</c:v>
                </c:pt>
                <c:pt idx="8">
                  <c:v>1718.75</c:v>
                </c:pt>
                <c:pt idx="9">
                  <c:v>2167.1</c:v>
                </c:pt>
                <c:pt idx="10">
                  <c:v>2896.95</c:v>
                </c:pt>
                <c:pt idx="11">
                  <c:v>3927.1</c:v>
                </c:pt>
                <c:pt idx="12">
                  <c:v>5281.5249999999996</c:v>
                </c:pt>
                <c:pt idx="13">
                  <c:v>6837.0750000000007</c:v>
                </c:pt>
                <c:pt idx="14">
                  <c:v>7740.8499999999995</c:v>
                </c:pt>
                <c:pt idx="15">
                  <c:v>7978.2749999999996</c:v>
                </c:pt>
                <c:pt idx="16">
                  <c:v>9165.35</c:v>
                </c:pt>
                <c:pt idx="17">
                  <c:v>10975.525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802752"/>
        <c:axId val="165804288"/>
      </c:scatterChart>
      <c:valAx>
        <c:axId val="1658027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65804288"/>
        <c:crosses val="autoZero"/>
        <c:crossBetween val="midCat"/>
      </c:valAx>
      <c:valAx>
        <c:axId val="165804288"/>
        <c:scaling>
          <c:orientation val="minMax"/>
        </c:scaling>
        <c:delete val="0"/>
        <c:axPos val="l"/>
        <c:numFmt formatCode="#,##0.0" sourceLinked="1"/>
        <c:majorTickMark val="out"/>
        <c:minorTickMark val="none"/>
        <c:tickLblPos val="nextTo"/>
        <c:crossAx val="165802752"/>
        <c:crosses val="autoZero"/>
        <c:crossBetween val="midCat"/>
        <c:majorUnit val="500"/>
        <c:minorUnit val="250"/>
      </c:valAx>
    </c:plotArea>
    <c:legend>
      <c:legendPos val="r"/>
      <c:layout>
        <c:manualLayout>
          <c:xMode val="edge"/>
          <c:yMode val="edge"/>
          <c:x val="0.77204379562043801"/>
          <c:y val="0.40703521094921763"/>
          <c:w val="0.22743742552478149"/>
          <c:h val="0.20905095836907489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v>фактич ВР</c:v>
          </c:tx>
          <c:xVal>
            <c:numRef>
              <c:f>'Тема 7'!$B$10:$B$29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'Тема 7'!$C$10:$C$29</c:f>
              <c:numCache>
                <c:formatCode>#,##0.0</c:formatCode>
                <c:ptCount val="20"/>
                <c:pt idx="0">
                  <c:v>696.2</c:v>
                </c:pt>
                <c:pt idx="1">
                  <c:v>735.9</c:v>
                </c:pt>
                <c:pt idx="2">
                  <c:v>1052.0999999999999</c:v>
                </c:pt>
                <c:pt idx="3">
                  <c:v>1350.4</c:v>
                </c:pt>
                <c:pt idx="4">
                  <c:v>1445.5</c:v>
                </c:pt>
                <c:pt idx="5">
                  <c:v>1468.7</c:v>
                </c:pt>
                <c:pt idx="6">
                  <c:v>1130.0999999999999</c:v>
                </c:pt>
                <c:pt idx="7">
                  <c:v>1229</c:v>
                </c:pt>
                <c:pt idx="8">
                  <c:v>1490.9</c:v>
                </c:pt>
                <c:pt idx="9">
                  <c:v>1658</c:v>
                </c:pt>
                <c:pt idx="10">
                  <c:v>2068.1</c:v>
                </c:pt>
                <c:pt idx="11">
                  <c:v>2874.2</c:v>
                </c:pt>
                <c:pt idx="12">
                  <c:v>3771.3</c:v>
                </c:pt>
                <c:pt idx="13">
                  <c:v>5291.6</c:v>
                </c:pt>
                <c:pt idx="14">
                  <c:v>6771.6</c:v>
                </c:pt>
                <c:pt idx="15">
                  <c:v>8513.5</c:v>
                </c:pt>
                <c:pt idx="16">
                  <c:v>7164.8</c:v>
                </c:pt>
                <c:pt idx="17">
                  <c:v>9070</c:v>
                </c:pt>
                <c:pt idx="18">
                  <c:v>11356.6</c:v>
                </c:pt>
                <c:pt idx="19">
                  <c:v>12118.9</c:v>
                </c:pt>
              </c:numCache>
            </c:numRef>
          </c:yVal>
          <c:smooth val="1"/>
        </c:ser>
        <c:ser>
          <c:idx val="1"/>
          <c:order val="1"/>
          <c:tx>
            <c:v>не взешенные</c:v>
          </c:tx>
          <c:xVal>
            <c:numRef>
              <c:f>'Тема 7'!$B$12:$B$27</c:f>
              <c:numCache>
                <c:formatCode>General</c:formatCode>
                <c:ptCount val="16"/>
                <c:pt idx="0">
                  <c:v>3</c:v>
                </c:pt>
                <c:pt idx="1">
                  <c:v>4</c:v>
                </c:pt>
                <c:pt idx="2">
                  <c:v>5</c:v>
                </c:pt>
                <c:pt idx="3">
                  <c:v>6</c:v>
                </c:pt>
                <c:pt idx="4">
                  <c:v>7</c:v>
                </c:pt>
                <c:pt idx="5">
                  <c:v>8</c:v>
                </c:pt>
                <c:pt idx="6">
                  <c:v>9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</c:numCache>
            </c:numRef>
          </c:xVal>
          <c:yVal>
            <c:numRef>
              <c:f>'Тема 7'!$G$12:$G$27</c:f>
              <c:numCache>
                <c:formatCode>#,##0.0</c:formatCode>
                <c:ptCount val="16"/>
                <c:pt idx="0">
                  <c:v>1052.3125</c:v>
                </c:pt>
                <c:pt idx="1">
                  <c:v>1237.5749999999998</c:v>
                </c:pt>
                <c:pt idx="2">
                  <c:v>1338.9250000000002</c:v>
                </c:pt>
                <c:pt idx="3">
                  <c:v>1333.5</c:v>
                </c:pt>
                <c:pt idx="4">
                  <c:v>1324</c:v>
                </c:pt>
                <c:pt idx="5">
                  <c:v>1353.3375000000001</c:v>
                </c:pt>
                <c:pt idx="6">
                  <c:v>1494.25</c:v>
                </c:pt>
                <c:pt idx="7">
                  <c:v>1817.15</c:v>
                </c:pt>
                <c:pt idx="8">
                  <c:v>2307.85</c:v>
                </c:pt>
                <c:pt idx="9">
                  <c:v>3047.0999999999995</c:v>
                </c:pt>
                <c:pt idx="10">
                  <c:v>4089.2375000000002</c:v>
                </c:pt>
                <c:pt idx="11">
                  <c:v>5382.0874999999996</c:v>
                </c:pt>
                <c:pt idx="12">
                  <c:v>6511.1875</c:v>
                </c:pt>
                <c:pt idx="13">
                  <c:v>7407.6750000000002</c:v>
                </c:pt>
                <c:pt idx="14">
                  <c:v>8453.1</c:v>
                </c:pt>
                <c:pt idx="15">
                  <c:v>9476.9000000000015</c:v>
                </c:pt>
              </c:numCache>
            </c:numRef>
          </c:yVal>
          <c:smooth val="1"/>
        </c:ser>
        <c:ser>
          <c:idx val="2"/>
          <c:order val="2"/>
          <c:tx>
            <c:v>взвешенные</c:v>
          </c:tx>
          <c:xVal>
            <c:numRef>
              <c:f>'Тема 7'!$B$74:$B$89</c:f>
              <c:numCache>
                <c:formatCode>General</c:formatCode>
                <c:ptCount val="16"/>
                <c:pt idx="0">
                  <c:v>3</c:v>
                </c:pt>
                <c:pt idx="1">
                  <c:v>4</c:v>
                </c:pt>
                <c:pt idx="2">
                  <c:v>5</c:v>
                </c:pt>
                <c:pt idx="3">
                  <c:v>6</c:v>
                </c:pt>
                <c:pt idx="4">
                  <c:v>7</c:v>
                </c:pt>
                <c:pt idx="5">
                  <c:v>8</c:v>
                </c:pt>
                <c:pt idx="6">
                  <c:v>9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</c:numCache>
            </c:numRef>
          </c:xVal>
          <c:yVal>
            <c:numRef>
              <c:f>'Тема 7'!$H$74:$H$89</c:f>
              <c:numCache>
                <c:formatCode>General</c:formatCode>
                <c:ptCount val="16"/>
                <c:pt idx="0">
                  <c:v>1049.96875</c:v>
                </c:pt>
                <c:pt idx="1">
                  <c:v>1268.5875000000001</c:v>
                </c:pt>
                <c:pt idx="2">
                  <c:v>1383.2249999999999</c:v>
                </c:pt>
                <c:pt idx="3">
                  <c:v>1355.875</c:v>
                </c:pt>
                <c:pt idx="4">
                  <c:v>1281.7375</c:v>
                </c:pt>
                <c:pt idx="5">
                  <c:v>1311.54375</c:v>
                </c:pt>
                <c:pt idx="6">
                  <c:v>1480.7250000000001</c:v>
                </c:pt>
                <c:pt idx="7">
                  <c:v>1767.9499999999998</c:v>
                </c:pt>
                <c:pt idx="8">
                  <c:v>2237.4749999999995</c:v>
                </c:pt>
                <c:pt idx="9">
                  <c:v>2972.0249999999996</c:v>
                </c:pt>
                <c:pt idx="10">
                  <c:v>4008.1687499999998</c:v>
                </c:pt>
                <c:pt idx="11">
                  <c:v>5331.8062500000005</c:v>
                </c:pt>
                <c:pt idx="12">
                  <c:v>6674.1312500000004</c:v>
                </c:pt>
                <c:pt idx="13">
                  <c:v>7574.2625000000007</c:v>
                </c:pt>
                <c:pt idx="14">
                  <c:v>8215.6875</c:v>
                </c:pt>
                <c:pt idx="15">
                  <c:v>9321.125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841920"/>
        <c:axId val="165843712"/>
      </c:scatterChart>
      <c:valAx>
        <c:axId val="1658419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65843712"/>
        <c:crosses val="autoZero"/>
        <c:crossBetween val="midCat"/>
      </c:valAx>
      <c:valAx>
        <c:axId val="165843712"/>
        <c:scaling>
          <c:orientation val="minMax"/>
        </c:scaling>
        <c:delete val="0"/>
        <c:axPos val="l"/>
        <c:majorGridlines/>
        <c:numFmt formatCode="#,##0.0" sourceLinked="1"/>
        <c:majorTickMark val="out"/>
        <c:minorTickMark val="none"/>
        <c:tickLblPos val="nextTo"/>
        <c:crossAx val="16584192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v>скользящие не взвешенные 4 периода</c:v>
          </c:tx>
          <c:spPr>
            <a:ln w="28575">
              <a:noFill/>
            </a:ln>
          </c:spPr>
          <c:xVal>
            <c:numRef>
              <c:f>'Тема 7'!$B$12:$B$27</c:f>
              <c:numCache>
                <c:formatCode>General</c:formatCode>
                <c:ptCount val="16"/>
                <c:pt idx="0">
                  <c:v>3</c:v>
                </c:pt>
                <c:pt idx="1">
                  <c:v>4</c:v>
                </c:pt>
                <c:pt idx="2">
                  <c:v>5</c:v>
                </c:pt>
                <c:pt idx="3">
                  <c:v>6</c:v>
                </c:pt>
                <c:pt idx="4">
                  <c:v>7</c:v>
                </c:pt>
                <c:pt idx="5">
                  <c:v>8</c:v>
                </c:pt>
                <c:pt idx="6">
                  <c:v>9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</c:numCache>
            </c:numRef>
          </c:xVal>
          <c:yVal>
            <c:numRef>
              <c:f>'Тема 7'!$G$12:$G$27</c:f>
              <c:numCache>
                <c:formatCode>#,##0.0</c:formatCode>
                <c:ptCount val="16"/>
                <c:pt idx="0">
                  <c:v>1052.3125</c:v>
                </c:pt>
                <c:pt idx="1">
                  <c:v>1237.5749999999998</c:v>
                </c:pt>
                <c:pt idx="2">
                  <c:v>1338.9250000000002</c:v>
                </c:pt>
                <c:pt idx="3">
                  <c:v>1333.5</c:v>
                </c:pt>
                <c:pt idx="4">
                  <c:v>1324</c:v>
                </c:pt>
                <c:pt idx="5">
                  <c:v>1353.3375000000001</c:v>
                </c:pt>
                <c:pt idx="6">
                  <c:v>1494.25</c:v>
                </c:pt>
                <c:pt idx="7">
                  <c:v>1817.15</c:v>
                </c:pt>
                <c:pt idx="8">
                  <c:v>2307.85</c:v>
                </c:pt>
                <c:pt idx="9">
                  <c:v>3047.0999999999995</c:v>
                </c:pt>
                <c:pt idx="10">
                  <c:v>4089.2375000000002</c:v>
                </c:pt>
                <c:pt idx="11">
                  <c:v>5382.0874999999996</c:v>
                </c:pt>
                <c:pt idx="12">
                  <c:v>6511.1875</c:v>
                </c:pt>
                <c:pt idx="13">
                  <c:v>7407.6750000000002</c:v>
                </c:pt>
                <c:pt idx="14">
                  <c:v>8453.1</c:v>
                </c:pt>
                <c:pt idx="15">
                  <c:v>9476.9000000000015</c:v>
                </c:pt>
              </c:numCache>
            </c:numRef>
          </c:yVal>
          <c:smooth val="0"/>
        </c:ser>
        <c:ser>
          <c:idx val="2"/>
          <c:order val="2"/>
          <c:tx>
            <c:v>скользящие взвешенные 4 периода</c:v>
          </c:tx>
          <c:spPr>
            <a:ln w="28575">
              <a:noFill/>
            </a:ln>
          </c:spPr>
          <c:xVal>
            <c:numRef>
              <c:f>'Тема 7'!$B$74:$B$89</c:f>
              <c:numCache>
                <c:formatCode>General</c:formatCode>
                <c:ptCount val="16"/>
                <c:pt idx="0">
                  <c:v>3</c:v>
                </c:pt>
                <c:pt idx="1">
                  <c:v>4</c:v>
                </c:pt>
                <c:pt idx="2">
                  <c:v>5</c:v>
                </c:pt>
                <c:pt idx="3">
                  <c:v>6</c:v>
                </c:pt>
                <c:pt idx="4">
                  <c:v>7</c:v>
                </c:pt>
                <c:pt idx="5">
                  <c:v>8</c:v>
                </c:pt>
                <c:pt idx="6">
                  <c:v>9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</c:numCache>
            </c:numRef>
          </c:xVal>
          <c:yVal>
            <c:numRef>
              <c:f>'Тема 7'!$H$74:$H$89</c:f>
              <c:numCache>
                <c:formatCode>General</c:formatCode>
                <c:ptCount val="16"/>
                <c:pt idx="0">
                  <c:v>1049.96875</c:v>
                </c:pt>
                <c:pt idx="1">
                  <c:v>1268.5875000000001</c:v>
                </c:pt>
                <c:pt idx="2">
                  <c:v>1383.2249999999999</c:v>
                </c:pt>
                <c:pt idx="3">
                  <c:v>1355.875</c:v>
                </c:pt>
                <c:pt idx="4">
                  <c:v>1281.7375</c:v>
                </c:pt>
                <c:pt idx="5">
                  <c:v>1311.54375</c:v>
                </c:pt>
                <c:pt idx="6">
                  <c:v>1480.7250000000001</c:v>
                </c:pt>
                <c:pt idx="7">
                  <c:v>1767.9499999999998</c:v>
                </c:pt>
                <c:pt idx="8">
                  <c:v>2237.4749999999995</c:v>
                </c:pt>
                <c:pt idx="9">
                  <c:v>2972.0249999999996</c:v>
                </c:pt>
                <c:pt idx="10">
                  <c:v>4008.1687499999998</c:v>
                </c:pt>
                <c:pt idx="11">
                  <c:v>5331.8062500000005</c:v>
                </c:pt>
                <c:pt idx="12">
                  <c:v>6674.1312500000004</c:v>
                </c:pt>
                <c:pt idx="13">
                  <c:v>7574.2625000000007</c:v>
                </c:pt>
                <c:pt idx="14">
                  <c:v>8215.6875</c:v>
                </c:pt>
                <c:pt idx="15">
                  <c:v>9321.125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862400"/>
        <c:axId val="166200064"/>
      </c:scatterChart>
      <c:scatterChart>
        <c:scatterStyle val="smoothMarker"/>
        <c:varyColors val="0"/>
        <c:ser>
          <c:idx val="0"/>
          <c:order val="0"/>
          <c:tx>
            <c:v>фактич ВР</c:v>
          </c:tx>
          <c:xVal>
            <c:numRef>
              <c:f>'Тема 7'!$B$10:$B$29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'Тема 7'!$C$10:$C$29</c:f>
              <c:numCache>
                <c:formatCode>#,##0.0</c:formatCode>
                <c:ptCount val="20"/>
                <c:pt idx="0">
                  <c:v>696.2</c:v>
                </c:pt>
                <c:pt idx="1">
                  <c:v>735.9</c:v>
                </c:pt>
                <c:pt idx="2">
                  <c:v>1052.0999999999999</c:v>
                </c:pt>
                <c:pt idx="3">
                  <c:v>1350.4</c:v>
                </c:pt>
                <c:pt idx="4">
                  <c:v>1445.5</c:v>
                </c:pt>
                <c:pt idx="5">
                  <c:v>1468.7</c:v>
                </c:pt>
                <c:pt idx="6">
                  <c:v>1130.0999999999999</c:v>
                </c:pt>
                <c:pt idx="7">
                  <c:v>1229</c:v>
                </c:pt>
                <c:pt idx="8">
                  <c:v>1490.9</c:v>
                </c:pt>
                <c:pt idx="9">
                  <c:v>1658</c:v>
                </c:pt>
                <c:pt idx="10">
                  <c:v>2068.1</c:v>
                </c:pt>
                <c:pt idx="11">
                  <c:v>2874.2</c:v>
                </c:pt>
                <c:pt idx="12">
                  <c:v>3771.3</c:v>
                </c:pt>
                <c:pt idx="13">
                  <c:v>5291.6</c:v>
                </c:pt>
                <c:pt idx="14">
                  <c:v>6771.6</c:v>
                </c:pt>
                <c:pt idx="15">
                  <c:v>8513.5</c:v>
                </c:pt>
                <c:pt idx="16">
                  <c:v>7164.8</c:v>
                </c:pt>
                <c:pt idx="17">
                  <c:v>9070</c:v>
                </c:pt>
                <c:pt idx="18">
                  <c:v>11356.6</c:v>
                </c:pt>
                <c:pt idx="19">
                  <c:v>12118.9</c:v>
                </c:pt>
              </c:numCache>
            </c:numRef>
          </c:yVal>
          <c:smooth val="1"/>
        </c:ser>
        <c:ser>
          <c:idx val="3"/>
          <c:order val="3"/>
          <c:tx>
            <c:v>экпоненц альфа 0.7</c:v>
          </c:tx>
          <c:xVal>
            <c:numRef>
              <c:f>'Тема 7'!$B$204:$B$223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'Тема 7'!$G$204:$G$223</c:f>
              <c:numCache>
                <c:formatCode>0.0</c:formatCode>
                <c:ptCount val="20"/>
                <c:pt idx="0">
                  <c:v>696.2</c:v>
                </c:pt>
                <c:pt idx="1">
                  <c:v>708.11</c:v>
                </c:pt>
                <c:pt idx="2">
                  <c:v>811.30700000000002</c:v>
                </c:pt>
                <c:pt idx="3">
                  <c:v>973.03490000000011</c:v>
                </c:pt>
                <c:pt idx="4">
                  <c:v>1114.7744300000002</c:v>
                </c:pt>
                <c:pt idx="5">
                  <c:v>1220.9521010000001</c:v>
                </c:pt>
                <c:pt idx="6">
                  <c:v>1193.6964707</c:v>
                </c:pt>
                <c:pt idx="7">
                  <c:v>1204.28752949</c:v>
                </c:pt>
                <c:pt idx="8">
                  <c:v>1290.2712706430002</c:v>
                </c:pt>
                <c:pt idx="9">
                  <c:v>1400.5898894501001</c:v>
                </c:pt>
                <c:pt idx="10">
                  <c:v>1600.8429226150702</c:v>
                </c:pt>
                <c:pt idx="11">
                  <c:v>1982.8500458305493</c:v>
                </c:pt>
                <c:pt idx="12">
                  <c:v>2519.3850320813845</c:v>
                </c:pt>
                <c:pt idx="13">
                  <c:v>3351.0495224569695</c:v>
                </c:pt>
                <c:pt idx="14">
                  <c:v>4377.2146657198791</c:v>
                </c:pt>
                <c:pt idx="15">
                  <c:v>5618.1002660039157</c:v>
                </c:pt>
                <c:pt idx="16">
                  <c:v>6082.1101862027408</c:v>
                </c:pt>
                <c:pt idx="17">
                  <c:v>6978.4771303419184</c:v>
                </c:pt>
                <c:pt idx="18">
                  <c:v>8291.9139912393439</c:v>
                </c:pt>
                <c:pt idx="19">
                  <c:v>9440.0097938675408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862400"/>
        <c:axId val="166200064"/>
      </c:scatterChart>
      <c:valAx>
        <c:axId val="165862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66200064"/>
        <c:crosses val="autoZero"/>
        <c:crossBetween val="midCat"/>
      </c:valAx>
      <c:valAx>
        <c:axId val="166200064"/>
        <c:scaling>
          <c:orientation val="minMax"/>
        </c:scaling>
        <c:delete val="0"/>
        <c:axPos val="l"/>
        <c:numFmt formatCode="#,##0.0" sourceLinked="1"/>
        <c:majorTickMark val="out"/>
        <c:minorTickMark val="none"/>
        <c:tickLblPos val="nextTo"/>
        <c:crossAx val="16586240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xVal>
            <c:numRef>
              <c:f>'Тема 6'!$C$16:$C$31</c:f>
              <c:numCache>
                <c:formatCode>#,##0</c:formatCode>
                <c:ptCount val="16"/>
                <c:pt idx="0">
                  <c:v>13019</c:v>
                </c:pt>
                <c:pt idx="1">
                  <c:v>16172</c:v>
                </c:pt>
                <c:pt idx="2">
                  <c:v>20356</c:v>
                </c:pt>
                <c:pt idx="3">
                  <c:v>11395</c:v>
                </c:pt>
                <c:pt idx="4">
                  <c:v>10257</c:v>
                </c:pt>
                <c:pt idx="5">
                  <c:v>11235</c:v>
                </c:pt>
                <c:pt idx="6">
                  <c:v>27829</c:v>
                </c:pt>
                <c:pt idx="7">
                  <c:v>14043</c:v>
                </c:pt>
                <c:pt idx="8">
                  <c:v>9935</c:v>
                </c:pt>
                <c:pt idx="9">
                  <c:v>13467</c:v>
                </c:pt>
                <c:pt idx="10">
                  <c:v>33459</c:v>
                </c:pt>
                <c:pt idx="11">
                  <c:v>14219</c:v>
                </c:pt>
                <c:pt idx="12">
                  <c:v>10195</c:v>
                </c:pt>
                <c:pt idx="13">
                  <c:v>20961</c:v>
                </c:pt>
                <c:pt idx="14">
                  <c:v>58486</c:v>
                </c:pt>
                <c:pt idx="15">
                  <c:v>115188</c:v>
                </c:pt>
              </c:numCache>
            </c:numRef>
          </c:xVal>
          <c:yVal>
            <c:numRef>
              <c:f>'Тема 6'!$B$16:$B$31</c:f>
              <c:numCache>
                <c:formatCode>General</c:formatCode>
                <c:ptCount val="16"/>
                <c:pt idx="0">
                  <c:v>0.6</c:v>
                </c:pt>
                <c:pt idx="1">
                  <c:v>0.6</c:v>
                </c:pt>
                <c:pt idx="2">
                  <c:v>1</c:v>
                </c:pt>
                <c:pt idx="3">
                  <c:v>2.7</c:v>
                </c:pt>
                <c:pt idx="4">
                  <c:v>1</c:v>
                </c:pt>
                <c:pt idx="5">
                  <c:v>1.2</c:v>
                </c:pt>
                <c:pt idx="6">
                  <c:v>0.9</c:v>
                </c:pt>
                <c:pt idx="7">
                  <c:v>0.8</c:v>
                </c:pt>
                <c:pt idx="8">
                  <c:v>1.7</c:v>
                </c:pt>
                <c:pt idx="9">
                  <c:v>1.8</c:v>
                </c:pt>
                <c:pt idx="10">
                  <c:v>1.8</c:v>
                </c:pt>
                <c:pt idx="11">
                  <c:v>0.9</c:v>
                </c:pt>
                <c:pt idx="12">
                  <c:v>0.9</c:v>
                </c:pt>
                <c:pt idx="13">
                  <c:v>1.1000000000000001</c:v>
                </c:pt>
                <c:pt idx="14">
                  <c:v>0.5</c:v>
                </c:pt>
                <c:pt idx="15">
                  <c:v>0.5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6249216"/>
        <c:axId val="166250752"/>
      </c:scatterChart>
      <c:valAx>
        <c:axId val="166249216"/>
        <c:scaling>
          <c:orientation val="minMax"/>
        </c:scaling>
        <c:delete val="0"/>
        <c:axPos val="b"/>
        <c:numFmt formatCode="#,##0" sourceLinked="1"/>
        <c:majorTickMark val="out"/>
        <c:minorTickMark val="none"/>
        <c:tickLblPos val="nextTo"/>
        <c:crossAx val="166250752"/>
        <c:crosses val="autoZero"/>
        <c:crossBetween val="midCat"/>
      </c:valAx>
      <c:valAx>
        <c:axId val="166250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624921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5952666933582453E-2"/>
          <c:y val="5.1400554097404488E-2"/>
          <c:w val="0.82293622195530647"/>
          <c:h val="0.8326195683872849"/>
        </c:manualLayout>
      </c:layout>
      <c:scatterChart>
        <c:scatterStyle val="smoothMarker"/>
        <c:varyColors val="0"/>
        <c:ser>
          <c:idx val="0"/>
          <c:order val="0"/>
          <c:xVal>
            <c:numRef>
              <c:f>'Тема 8'!$B$8:$B$31</c:f>
              <c:numCache>
                <c:formatCode>General</c:formatCode>
                <c:ptCount val="2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</c:numCache>
            </c:numRef>
          </c:xVal>
          <c:yVal>
            <c:numRef>
              <c:f>'Тема 8'!$C$8:$C$31</c:f>
              <c:numCache>
                <c:formatCode>#,##0.0</c:formatCode>
                <c:ptCount val="24"/>
                <c:pt idx="0">
                  <c:v>696.2</c:v>
                </c:pt>
                <c:pt idx="1">
                  <c:v>735.9</c:v>
                </c:pt>
                <c:pt idx="2">
                  <c:v>1052.0999999999999</c:v>
                </c:pt>
                <c:pt idx="3">
                  <c:v>1350.4</c:v>
                </c:pt>
                <c:pt idx="4">
                  <c:v>1445.5</c:v>
                </c:pt>
                <c:pt idx="5">
                  <c:v>1468.7</c:v>
                </c:pt>
                <c:pt idx="6">
                  <c:v>1130.0999999999999</c:v>
                </c:pt>
                <c:pt idx="7">
                  <c:v>1229</c:v>
                </c:pt>
                <c:pt idx="8">
                  <c:v>1490.9</c:v>
                </c:pt>
                <c:pt idx="9">
                  <c:v>1658</c:v>
                </c:pt>
                <c:pt idx="10">
                  <c:v>2068.1</c:v>
                </c:pt>
                <c:pt idx="11">
                  <c:v>2874.2</c:v>
                </c:pt>
                <c:pt idx="12">
                  <c:v>3771.3</c:v>
                </c:pt>
                <c:pt idx="13">
                  <c:v>5291.6</c:v>
                </c:pt>
                <c:pt idx="14">
                  <c:v>6771.6</c:v>
                </c:pt>
                <c:pt idx="15">
                  <c:v>8513.5</c:v>
                </c:pt>
                <c:pt idx="16">
                  <c:v>7164.8</c:v>
                </c:pt>
                <c:pt idx="17">
                  <c:v>9070</c:v>
                </c:pt>
                <c:pt idx="18">
                  <c:v>11634.5</c:v>
                </c:pt>
                <c:pt idx="19">
                  <c:v>12387.4</c:v>
                </c:pt>
                <c:pt idx="20">
                  <c:v>13890.8</c:v>
                </c:pt>
                <c:pt idx="21">
                  <c:v>12806.7</c:v>
                </c:pt>
                <c:pt idx="22">
                  <c:v>10509.9</c:v>
                </c:pt>
                <c:pt idx="23">
                  <c:v>7714.8</c:v>
                </c:pt>
              </c:numCache>
            </c:numRef>
          </c:yVal>
          <c:smooth val="1"/>
        </c:ser>
        <c:ser>
          <c:idx val="1"/>
          <c:order val="1"/>
          <c:tx>
            <c:v>сглаженный</c:v>
          </c:tx>
          <c:xVal>
            <c:numRef>
              <c:f>'Тема 8'!$B$41:$B$64</c:f>
              <c:numCache>
                <c:formatCode>General</c:formatCode>
                <c:ptCount val="2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</c:numCache>
            </c:numRef>
          </c:xVal>
          <c:yVal>
            <c:numRef>
              <c:f>'Тема 8'!$D$41:$D$64</c:f>
              <c:numCache>
                <c:formatCode>0.0</c:formatCode>
                <c:ptCount val="24"/>
                <c:pt idx="1">
                  <c:v>828.06666666666661</c:v>
                </c:pt>
                <c:pt idx="2">
                  <c:v>1046.1333333333334</c:v>
                </c:pt>
                <c:pt idx="3">
                  <c:v>1282.6666666666667</c:v>
                </c:pt>
                <c:pt idx="4">
                  <c:v>1421.5333333333335</c:v>
                </c:pt>
                <c:pt idx="5">
                  <c:v>1348.1</c:v>
                </c:pt>
                <c:pt idx="6">
                  <c:v>1275.9333333333334</c:v>
                </c:pt>
                <c:pt idx="7">
                  <c:v>1283.3333333333333</c:v>
                </c:pt>
                <c:pt idx="8">
                  <c:v>1459.3</c:v>
                </c:pt>
                <c:pt idx="9">
                  <c:v>1739</c:v>
                </c:pt>
                <c:pt idx="10">
                  <c:v>2200.1</c:v>
                </c:pt>
                <c:pt idx="11">
                  <c:v>2904.5333333333328</c:v>
                </c:pt>
                <c:pt idx="12">
                  <c:v>3979.0333333333333</c:v>
                </c:pt>
                <c:pt idx="13">
                  <c:v>5278.166666666667</c:v>
                </c:pt>
                <c:pt idx="14">
                  <c:v>6858.9000000000005</c:v>
                </c:pt>
                <c:pt idx="15">
                  <c:v>7483.3</c:v>
                </c:pt>
                <c:pt idx="16">
                  <c:v>8249.4333333333325</c:v>
                </c:pt>
                <c:pt idx="17">
                  <c:v>9289.7666666666664</c:v>
                </c:pt>
                <c:pt idx="18">
                  <c:v>11030.633333333333</c:v>
                </c:pt>
                <c:pt idx="19">
                  <c:v>12637.566666666666</c:v>
                </c:pt>
                <c:pt idx="20">
                  <c:v>13028.299999999997</c:v>
                </c:pt>
                <c:pt idx="21">
                  <c:v>12402.466666666667</c:v>
                </c:pt>
                <c:pt idx="22">
                  <c:v>10343.799999999999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942016"/>
        <c:axId val="165943552"/>
      </c:scatterChart>
      <c:valAx>
        <c:axId val="1659420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65943552"/>
        <c:crosses val="autoZero"/>
        <c:crossBetween val="midCat"/>
      </c:valAx>
      <c:valAx>
        <c:axId val="165943552"/>
        <c:scaling>
          <c:orientation val="minMax"/>
        </c:scaling>
        <c:delete val="0"/>
        <c:axPos val="l"/>
        <c:majorGridlines/>
        <c:numFmt formatCode="#,##0.0" sourceLinked="1"/>
        <c:majorTickMark val="out"/>
        <c:minorTickMark val="none"/>
        <c:tickLblPos val="nextTo"/>
        <c:crossAx val="16594201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trendline>
            <c:trendlineType val="poly"/>
            <c:order val="2"/>
            <c:dispRSqr val="1"/>
            <c:dispEq val="1"/>
            <c:trendlineLbl>
              <c:layout>
                <c:manualLayout>
                  <c:x val="-2.5071303587051619E-2"/>
                  <c:y val="-2.8252405949256341E-2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 baseline="0"/>
                      <a:t>y = 26,947t</a:t>
                    </a:r>
                    <a:r>
                      <a:rPr lang="en-US" baseline="30000"/>
                      <a:t>2</a:t>
                    </a:r>
                    <a:r>
                      <a:rPr lang="en-US" baseline="0"/>
                      <a:t> - 30,918t + 426,43
R² = 0,9292</a:t>
                    </a:r>
                    <a:endParaRPr lang="en-US"/>
                  </a:p>
                </c:rich>
              </c:tx>
              <c:numFmt formatCode="General" sourceLinked="0"/>
            </c:trendlineLbl>
          </c:trendline>
          <c:xVal>
            <c:numRef>
              <c:f>'Тема 8'!$B$42:$B$63</c:f>
              <c:numCache>
                <c:formatCode>General</c:formatCode>
                <c:ptCount val="22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  <c:pt idx="11">
                  <c:v>13</c:v>
                </c:pt>
                <c:pt idx="12">
                  <c:v>14</c:v>
                </c:pt>
                <c:pt idx="13">
                  <c:v>15</c:v>
                </c:pt>
                <c:pt idx="14">
                  <c:v>16</c:v>
                </c:pt>
                <c:pt idx="15">
                  <c:v>17</c:v>
                </c:pt>
                <c:pt idx="16">
                  <c:v>18</c:v>
                </c:pt>
                <c:pt idx="17">
                  <c:v>19</c:v>
                </c:pt>
                <c:pt idx="18">
                  <c:v>20</c:v>
                </c:pt>
                <c:pt idx="19">
                  <c:v>21</c:v>
                </c:pt>
                <c:pt idx="20">
                  <c:v>22</c:v>
                </c:pt>
                <c:pt idx="21">
                  <c:v>23</c:v>
                </c:pt>
              </c:numCache>
            </c:numRef>
          </c:xVal>
          <c:yVal>
            <c:numRef>
              <c:f>'Тема 8'!$D$42:$D$63</c:f>
              <c:numCache>
                <c:formatCode>0.0</c:formatCode>
                <c:ptCount val="22"/>
                <c:pt idx="0">
                  <c:v>828.06666666666661</c:v>
                </c:pt>
                <c:pt idx="1">
                  <c:v>1046.1333333333334</c:v>
                </c:pt>
                <c:pt idx="2">
                  <c:v>1282.6666666666667</c:v>
                </c:pt>
                <c:pt idx="3">
                  <c:v>1421.5333333333335</c:v>
                </c:pt>
                <c:pt idx="4">
                  <c:v>1348.1</c:v>
                </c:pt>
                <c:pt idx="5">
                  <c:v>1275.9333333333334</c:v>
                </c:pt>
                <c:pt idx="6">
                  <c:v>1283.3333333333333</c:v>
                </c:pt>
                <c:pt idx="7">
                  <c:v>1459.3</c:v>
                </c:pt>
                <c:pt idx="8">
                  <c:v>1739</c:v>
                </c:pt>
                <c:pt idx="9">
                  <c:v>2200.1</c:v>
                </c:pt>
                <c:pt idx="10">
                  <c:v>2904.5333333333328</c:v>
                </c:pt>
                <c:pt idx="11">
                  <c:v>3979.0333333333333</c:v>
                </c:pt>
                <c:pt idx="12">
                  <c:v>5278.166666666667</c:v>
                </c:pt>
                <c:pt idx="13">
                  <c:v>6858.9000000000005</c:v>
                </c:pt>
                <c:pt idx="14">
                  <c:v>7483.3</c:v>
                </c:pt>
                <c:pt idx="15">
                  <c:v>8249.4333333333325</c:v>
                </c:pt>
                <c:pt idx="16">
                  <c:v>9289.7666666666664</c:v>
                </c:pt>
                <c:pt idx="17">
                  <c:v>11030.633333333333</c:v>
                </c:pt>
                <c:pt idx="18">
                  <c:v>12637.566666666666</c:v>
                </c:pt>
                <c:pt idx="19">
                  <c:v>13028.299999999997</c:v>
                </c:pt>
                <c:pt idx="20">
                  <c:v>12402.466666666667</c:v>
                </c:pt>
                <c:pt idx="21">
                  <c:v>10343.799999999999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6082048"/>
        <c:axId val="166083584"/>
      </c:scatterChart>
      <c:valAx>
        <c:axId val="1660820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66083584"/>
        <c:crosses val="autoZero"/>
        <c:crossBetween val="midCat"/>
      </c:valAx>
      <c:valAx>
        <c:axId val="166083584"/>
        <c:scaling>
          <c:orientation val="minMax"/>
        </c:scaling>
        <c:delete val="0"/>
        <c:axPos val="l"/>
        <c:majorGridlines/>
        <c:numFmt formatCode="0.0" sourceLinked="1"/>
        <c:majorTickMark val="out"/>
        <c:minorTickMark val="none"/>
        <c:tickLblPos val="nextTo"/>
        <c:crossAx val="16608204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trendline>
            <c:trendlineType val="power"/>
            <c:dispRSqr val="1"/>
            <c:dispEq val="1"/>
            <c:trendlineLbl>
              <c:layout>
                <c:manualLayout>
                  <c:x val="-0.17761307961504813"/>
                  <c:y val="-0.14562700495771361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 sz="1300" baseline="0"/>
                      <a:t>y = 165,52t</a:t>
                    </a:r>
                    <a:r>
                      <a:rPr lang="en-US" sz="1300" baseline="30000"/>
                      <a:t>1,3038</a:t>
                    </a:r>
                    <a:r>
                      <a:rPr lang="en-US" baseline="0"/>
                      <a:t>
R² = 0,823</a:t>
                    </a:r>
                    <a:endParaRPr lang="en-US"/>
                  </a:p>
                </c:rich>
              </c:tx>
              <c:numFmt formatCode="General" sourceLinked="0"/>
            </c:trendlineLbl>
          </c:trendline>
          <c:xVal>
            <c:numRef>
              <c:f>'Тема 8'!$B$42:$B$63</c:f>
              <c:numCache>
                <c:formatCode>General</c:formatCode>
                <c:ptCount val="22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  <c:pt idx="11">
                  <c:v>13</c:v>
                </c:pt>
                <c:pt idx="12">
                  <c:v>14</c:v>
                </c:pt>
                <c:pt idx="13">
                  <c:v>15</c:v>
                </c:pt>
                <c:pt idx="14">
                  <c:v>16</c:v>
                </c:pt>
                <c:pt idx="15">
                  <c:v>17</c:v>
                </c:pt>
                <c:pt idx="16">
                  <c:v>18</c:v>
                </c:pt>
                <c:pt idx="17">
                  <c:v>19</c:v>
                </c:pt>
                <c:pt idx="18">
                  <c:v>20</c:v>
                </c:pt>
                <c:pt idx="19">
                  <c:v>21</c:v>
                </c:pt>
                <c:pt idx="20">
                  <c:v>22</c:v>
                </c:pt>
                <c:pt idx="21">
                  <c:v>23</c:v>
                </c:pt>
              </c:numCache>
            </c:numRef>
          </c:xVal>
          <c:yVal>
            <c:numRef>
              <c:f>'Тема 8'!$D$42:$D$63</c:f>
              <c:numCache>
                <c:formatCode>0.0</c:formatCode>
                <c:ptCount val="22"/>
                <c:pt idx="0">
                  <c:v>828.06666666666661</c:v>
                </c:pt>
                <c:pt idx="1">
                  <c:v>1046.1333333333334</c:v>
                </c:pt>
                <c:pt idx="2">
                  <c:v>1282.6666666666667</c:v>
                </c:pt>
                <c:pt idx="3">
                  <c:v>1421.5333333333335</c:v>
                </c:pt>
                <c:pt idx="4">
                  <c:v>1348.1</c:v>
                </c:pt>
                <c:pt idx="5">
                  <c:v>1275.9333333333334</c:v>
                </c:pt>
                <c:pt idx="6">
                  <c:v>1283.3333333333333</c:v>
                </c:pt>
                <c:pt idx="7">
                  <c:v>1459.3</c:v>
                </c:pt>
                <c:pt idx="8">
                  <c:v>1739</c:v>
                </c:pt>
                <c:pt idx="9">
                  <c:v>2200.1</c:v>
                </c:pt>
                <c:pt idx="10">
                  <c:v>2904.5333333333328</c:v>
                </c:pt>
                <c:pt idx="11">
                  <c:v>3979.0333333333333</c:v>
                </c:pt>
                <c:pt idx="12">
                  <c:v>5278.166666666667</c:v>
                </c:pt>
                <c:pt idx="13">
                  <c:v>6858.9000000000005</c:v>
                </c:pt>
                <c:pt idx="14">
                  <c:v>7483.3</c:v>
                </c:pt>
                <c:pt idx="15">
                  <c:v>8249.4333333333325</c:v>
                </c:pt>
                <c:pt idx="16">
                  <c:v>9289.7666666666664</c:v>
                </c:pt>
                <c:pt idx="17">
                  <c:v>11030.633333333333</c:v>
                </c:pt>
                <c:pt idx="18">
                  <c:v>12637.566666666666</c:v>
                </c:pt>
                <c:pt idx="19">
                  <c:v>13028.299999999997</c:v>
                </c:pt>
                <c:pt idx="20">
                  <c:v>12402.466666666667</c:v>
                </c:pt>
                <c:pt idx="21">
                  <c:v>10343.799999999999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6149120"/>
        <c:axId val="166155008"/>
      </c:scatterChart>
      <c:valAx>
        <c:axId val="1661491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66155008"/>
        <c:crosses val="autoZero"/>
        <c:crossBetween val="midCat"/>
      </c:valAx>
      <c:valAx>
        <c:axId val="166155008"/>
        <c:scaling>
          <c:orientation val="minMax"/>
        </c:scaling>
        <c:delete val="0"/>
        <c:axPos val="l"/>
        <c:majorGridlines/>
        <c:numFmt formatCode="0.0" sourceLinked="1"/>
        <c:majorTickMark val="out"/>
        <c:minorTickMark val="none"/>
        <c:tickLblPos val="nextTo"/>
        <c:crossAx val="166149120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xVal>
            <c:numRef>
              <c:f>'Тема 9'!$C$4:$C$33</c:f>
              <c:numCache>
                <c:formatCode>General</c:formatCode>
                <c:ptCount val="3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</c:numCache>
            </c:numRef>
          </c:xVal>
          <c:yVal>
            <c:numRef>
              <c:f>'Тема 9'!$D$4:$D$33</c:f>
              <c:numCache>
                <c:formatCode>General</c:formatCode>
                <c:ptCount val="30"/>
                <c:pt idx="0">
                  <c:v>1282</c:v>
                </c:pt>
                <c:pt idx="1">
                  <c:v>1292.7</c:v>
                </c:pt>
                <c:pt idx="2">
                  <c:v>1295</c:v>
                </c:pt>
                <c:pt idx="3">
                  <c:v>1392.6</c:v>
                </c:pt>
                <c:pt idx="4">
                  <c:v>1647.3</c:v>
                </c:pt>
                <c:pt idx="5">
                  <c:v>1672.9</c:v>
                </c:pt>
                <c:pt idx="6">
                  <c:v>1660.5</c:v>
                </c:pt>
                <c:pt idx="7">
                  <c:v>2011.7</c:v>
                </c:pt>
                <c:pt idx="8">
                  <c:v>2351.9</c:v>
                </c:pt>
                <c:pt idx="9">
                  <c:v>2513.9</c:v>
                </c:pt>
                <c:pt idx="10">
                  <c:v>2468.5</c:v>
                </c:pt>
                <c:pt idx="11">
                  <c:v>2746.2</c:v>
                </c:pt>
                <c:pt idx="12">
                  <c:v>1942.7</c:v>
                </c:pt>
                <c:pt idx="13">
                  <c:v>1901.1</c:v>
                </c:pt>
                <c:pt idx="14">
                  <c:v>1971.6</c:v>
                </c:pt>
                <c:pt idx="15">
                  <c:v>1989.1</c:v>
                </c:pt>
                <c:pt idx="16">
                  <c:v>2139.1999999999998</c:v>
                </c:pt>
                <c:pt idx="17">
                  <c:v>2474.1999999999998</c:v>
                </c:pt>
                <c:pt idx="18">
                  <c:v>2393.6</c:v>
                </c:pt>
                <c:pt idx="19">
                  <c:v>2990.1</c:v>
                </c:pt>
                <c:pt idx="20">
                  <c:v>3190.3</c:v>
                </c:pt>
                <c:pt idx="21">
                  <c:v>3400.4</c:v>
                </c:pt>
                <c:pt idx="22">
                  <c:v>3399.5</c:v>
                </c:pt>
                <c:pt idx="23">
                  <c:v>3793.9</c:v>
                </c:pt>
                <c:pt idx="24">
                  <c:v>2584.9</c:v>
                </c:pt>
                <c:pt idx="25">
                  <c:v>2451.6999999999998</c:v>
                </c:pt>
                <c:pt idx="26">
                  <c:v>2666</c:v>
                </c:pt>
                <c:pt idx="27">
                  <c:v>2670</c:v>
                </c:pt>
                <c:pt idx="28">
                  <c:v>2731.8</c:v>
                </c:pt>
                <c:pt idx="29">
                  <c:v>2983.8</c:v>
                </c:pt>
              </c:numCache>
            </c:numRef>
          </c:yVal>
          <c:smooth val="1"/>
        </c:ser>
        <c:ser>
          <c:idx val="1"/>
          <c:order val="1"/>
          <c:tx>
            <c:v>трендовая компонента</c:v>
          </c:tx>
          <c:xVal>
            <c:numRef>
              <c:f>'Тема 9'!$C$4:$C$33</c:f>
              <c:numCache>
                <c:formatCode>General</c:formatCode>
                <c:ptCount val="3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</c:numCache>
            </c:numRef>
          </c:xVal>
          <c:yVal>
            <c:numRef>
              <c:f>'Тема 9'!$H$4:$H$33</c:f>
              <c:numCache>
                <c:formatCode>0.00</c:formatCode>
                <c:ptCount val="30"/>
                <c:pt idx="0">
                  <c:v>1316.8587900000007</c:v>
                </c:pt>
                <c:pt idx="1">
                  <c:v>1481.5516800000005</c:v>
                </c:pt>
                <c:pt idx="2">
                  <c:v>1415.9208300000005</c:v>
                </c:pt>
                <c:pt idx="3">
                  <c:v>1686.9939900000004</c:v>
                </c:pt>
                <c:pt idx="4">
                  <c:v>1593.8907900000004</c:v>
                </c:pt>
                <c:pt idx="5">
                  <c:v>1824.0360900000001</c:v>
                </c:pt>
                <c:pt idx="6">
                  <c:v>1765.7705400000004</c:v>
                </c:pt>
                <c:pt idx="7">
                  <c:v>1909.9425900000001</c:v>
                </c:pt>
                <c:pt idx="8">
                  <c:v>1863.0762600000003</c:v>
                </c:pt>
                <c:pt idx="9">
                  <c:v>2007.6621</c:v>
                </c:pt>
                <c:pt idx="10">
                  <c:v>2132.1844500000002</c:v>
                </c:pt>
                <c:pt idx="11">
                  <c:v>2057.4621900000006</c:v>
                </c:pt>
                <c:pt idx="12">
                  <c:v>2359.4732700000009</c:v>
                </c:pt>
                <c:pt idx="13">
                  <c:v>2241.1823400000003</c:v>
                </c:pt>
                <c:pt idx="14">
                  <c:v>2279.9970000000003</c:v>
                </c:pt>
                <c:pt idx="15">
                  <c:v>2496.6769499999996</c:v>
                </c:pt>
                <c:pt idx="16">
                  <c:v>2563.2196800000006</c:v>
                </c:pt>
                <c:pt idx="17">
                  <c:v>2545.6494600000001</c:v>
                </c:pt>
                <c:pt idx="18">
                  <c:v>2535.2056800000005</c:v>
                </c:pt>
                <c:pt idx="19">
                  <c:v>2794.4047200000005</c:v>
                </c:pt>
                <c:pt idx="20">
                  <c:v>2772.5413500000004</c:v>
                </c:pt>
                <c:pt idx="21">
                  <c:v>2880.2304300000005</c:v>
                </c:pt>
                <c:pt idx="22">
                  <c:v>2881.0580100000002</c:v>
                </c:pt>
                <c:pt idx="23">
                  <c:v>2831.6920800000003</c:v>
                </c:pt>
                <c:pt idx="24">
                  <c:v>2972.2974000000004</c:v>
                </c:pt>
                <c:pt idx="25">
                  <c:v>2784.7484700000005</c:v>
                </c:pt>
                <c:pt idx="26">
                  <c:v>2947.7152500000007</c:v>
                </c:pt>
                <c:pt idx="27">
                  <c:v>2902.2251700000002</c:v>
                </c:pt>
                <c:pt idx="28">
                  <c:v>3004.3895700000003</c:v>
                </c:pt>
                <c:pt idx="29">
                  <c:v>3162.0333000000001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6171008"/>
        <c:axId val="166172544"/>
      </c:scatterChart>
      <c:valAx>
        <c:axId val="166171008"/>
        <c:scaling>
          <c:orientation val="minMax"/>
          <c:max val="31"/>
          <c:min val="0"/>
        </c:scaling>
        <c:delete val="0"/>
        <c:axPos val="b"/>
        <c:numFmt formatCode="General" sourceLinked="1"/>
        <c:majorTickMark val="out"/>
        <c:minorTickMark val="none"/>
        <c:tickLblPos val="nextTo"/>
        <c:crossAx val="166172544"/>
        <c:crosses val="autoZero"/>
        <c:crossBetween val="midCat"/>
        <c:majorUnit val="1"/>
      </c:valAx>
      <c:valAx>
        <c:axId val="1661725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61710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-1.830249343832021E-2"/>
                  <c:y val="-0.15281057109240656"/>
                </c:manualLayout>
              </c:layout>
              <c:numFmt formatCode="General" sourceLinked="0"/>
            </c:trendlineLbl>
          </c:trendline>
          <c:xVal>
            <c:numRef>
              <c:f>'прогноз объема реализ'!$B$62:$B$68</c:f>
              <c:numCache>
                <c:formatCode>General</c:formatCode>
                <c:ptCount val="7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</c:numCache>
            </c:numRef>
          </c:xVal>
          <c:yVal>
            <c:numRef>
              <c:f>'прогноз объема реализ'!$C$62:$C$68</c:f>
              <c:numCache>
                <c:formatCode>#,##0</c:formatCode>
                <c:ptCount val="7"/>
                <c:pt idx="0">
                  <c:v>265455</c:v>
                </c:pt>
                <c:pt idx="1">
                  <c:v>270945</c:v>
                </c:pt>
                <c:pt idx="2">
                  <c:v>280350</c:v>
                </c:pt>
                <c:pt idx="3">
                  <c:v>289600</c:v>
                </c:pt>
                <c:pt idx="4">
                  <c:v>299655</c:v>
                </c:pt>
                <c:pt idx="5">
                  <c:v>407865</c:v>
                </c:pt>
                <c:pt idx="6">
                  <c:v>480908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6660352"/>
        <c:axId val="166666240"/>
      </c:scatterChart>
      <c:valAx>
        <c:axId val="1666603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66666240"/>
        <c:crosses val="autoZero"/>
        <c:crossBetween val="midCat"/>
      </c:valAx>
      <c:valAx>
        <c:axId val="166666240"/>
        <c:scaling>
          <c:orientation val="minMax"/>
        </c:scaling>
        <c:delete val="0"/>
        <c:axPos val="l"/>
        <c:numFmt formatCode="#,##0" sourceLinked="1"/>
        <c:majorTickMark val="out"/>
        <c:minorTickMark val="none"/>
        <c:tickLblPos val="nextTo"/>
        <c:crossAx val="166660352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071062992125985"/>
          <c:y val="2.8252405949256341E-2"/>
          <c:w val="0.82780336832895884"/>
          <c:h val="0.8326195683872849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trendline>
            <c:trendlineType val="poly"/>
            <c:order val="2"/>
            <c:dispRSqr val="1"/>
            <c:dispEq val="1"/>
            <c:trendlineLbl>
              <c:layout/>
              <c:numFmt formatCode="General" sourceLinked="0"/>
            </c:trendlineLbl>
          </c:trendline>
          <c:xVal>
            <c:numRef>
              <c:f>'прогноз объема реализ'!$B$62:$B$68</c:f>
              <c:numCache>
                <c:formatCode>General</c:formatCode>
                <c:ptCount val="7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</c:numCache>
            </c:numRef>
          </c:xVal>
          <c:yVal>
            <c:numRef>
              <c:f>'прогноз объема реализ'!$C$62:$C$68</c:f>
              <c:numCache>
                <c:formatCode>#,##0</c:formatCode>
                <c:ptCount val="7"/>
                <c:pt idx="0">
                  <c:v>265455</c:v>
                </c:pt>
                <c:pt idx="1">
                  <c:v>270945</c:v>
                </c:pt>
                <c:pt idx="2">
                  <c:v>280350</c:v>
                </c:pt>
                <c:pt idx="3">
                  <c:v>289600</c:v>
                </c:pt>
                <c:pt idx="4">
                  <c:v>299655</c:v>
                </c:pt>
                <c:pt idx="5">
                  <c:v>407865</c:v>
                </c:pt>
                <c:pt idx="6">
                  <c:v>480908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6711296"/>
        <c:axId val="166712832"/>
      </c:scatterChart>
      <c:valAx>
        <c:axId val="1667112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66712832"/>
        <c:crosses val="autoZero"/>
        <c:crossBetween val="midCat"/>
      </c:valAx>
      <c:valAx>
        <c:axId val="166712832"/>
        <c:scaling>
          <c:orientation val="minMax"/>
        </c:scaling>
        <c:delete val="0"/>
        <c:axPos val="l"/>
        <c:numFmt formatCode="#,##0" sourceLinked="1"/>
        <c:majorTickMark val="out"/>
        <c:minorTickMark val="none"/>
        <c:tickLblPos val="nextTo"/>
        <c:crossAx val="16671129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trendline>
            <c:trendlineType val="exp"/>
            <c:dispRSqr val="1"/>
            <c:dispEq val="1"/>
            <c:trendlineLbl>
              <c:layout>
                <c:manualLayout>
                  <c:x val="-2.3177384076990375E-2"/>
                  <c:y val="-9.5442184310294553E-2"/>
                </c:manualLayout>
              </c:layout>
              <c:numFmt formatCode="General" sourceLinked="0"/>
            </c:trendlineLbl>
          </c:trendline>
          <c:xVal>
            <c:numRef>
              <c:f>'прогноз объема реализ'!$B$62:$B$68</c:f>
              <c:numCache>
                <c:formatCode>General</c:formatCode>
                <c:ptCount val="7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</c:numCache>
            </c:numRef>
          </c:xVal>
          <c:yVal>
            <c:numRef>
              <c:f>'прогноз объема реализ'!$C$62:$C$68</c:f>
              <c:numCache>
                <c:formatCode>#,##0</c:formatCode>
                <c:ptCount val="7"/>
                <c:pt idx="0">
                  <c:v>265455</c:v>
                </c:pt>
                <c:pt idx="1">
                  <c:v>270945</c:v>
                </c:pt>
                <c:pt idx="2">
                  <c:v>280350</c:v>
                </c:pt>
                <c:pt idx="3">
                  <c:v>289600</c:v>
                </c:pt>
                <c:pt idx="4">
                  <c:v>299655</c:v>
                </c:pt>
                <c:pt idx="5">
                  <c:v>407865</c:v>
                </c:pt>
                <c:pt idx="6">
                  <c:v>480908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6999552"/>
        <c:axId val="167001088"/>
      </c:scatterChart>
      <c:valAx>
        <c:axId val="1669995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67001088"/>
        <c:crosses val="autoZero"/>
        <c:crossBetween val="midCat"/>
      </c:valAx>
      <c:valAx>
        <c:axId val="167001088"/>
        <c:scaling>
          <c:orientation val="minMax"/>
        </c:scaling>
        <c:delete val="0"/>
        <c:axPos val="l"/>
        <c:numFmt formatCode="#,##0" sourceLinked="1"/>
        <c:majorTickMark val="out"/>
        <c:minorTickMark val="none"/>
        <c:tickLblPos val="nextTo"/>
        <c:crossAx val="166999552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circle"/>
            <c:size val="10"/>
          </c:marker>
          <c:dLbls>
            <c:dLbl>
              <c:idx val="0"/>
              <c:layout>
                <c:manualLayout>
                  <c:x val="-8.4106412195090435E-2"/>
                  <c:y val="6.6181789620437123E-2"/>
                </c:manualLayout>
              </c:layout>
              <c:tx>
                <c:rich>
                  <a:bodyPr/>
                  <a:lstStyle/>
                  <a:p>
                    <a:r>
                      <a:rPr lang="ru-RU"/>
                      <a:t>ролики</a:t>
                    </a:r>
                    <a:r>
                      <a:rPr lang="ru-RU" baseline="0"/>
                      <a:t> конвейерные</a:t>
                    </a:r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4.1536857174208361E-3"/>
                  <c:y val="-2.6181265995117194E-7"/>
                </c:manualLayout>
              </c:layout>
              <c:tx>
                <c:rich>
                  <a:bodyPr/>
                  <a:lstStyle/>
                  <a:p>
                    <a:r>
                      <a:rPr lang="ru-RU"/>
                      <a:t>ГШО</a:t>
                    </a:r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/>
              <c:tx>
                <c:rich>
                  <a:bodyPr/>
                  <a:lstStyle/>
                  <a:p>
                    <a:r>
                      <a:rPr lang="ru-RU"/>
                      <a:t>РТИ</a:t>
                    </a:r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7.4766342913575021E-2"/>
                  <c:y val="-4.6550290939318374E-2"/>
                </c:manualLayout>
              </c:layout>
              <c:tx>
                <c:rich>
                  <a:bodyPr/>
                  <a:lstStyle/>
                  <a:p>
                    <a:r>
                      <a:rPr lang="ru-RU"/>
                      <a:t>бурильные</a:t>
                    </a:r>
                    <a:r>
                      <a:rPr lang="ru-RU" baseline="0"/>
                      <a:t> трубы</a:t>
                    </a:r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/>
              <c:tx>
                <c:rich>
                  <a:bodyPr/>
                  <a:lstStyle/>
                  <a:p>
                    <a:r>
                      <a:rPr lang="ru-RU"/>
                      <a:t>Лебедки</a:t>
                    </a:r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6.0228442902602118E-2"/>
                  <c:y val="4.9875311720698284E-2"/>
                </c:manualLayout>
              </c:layout>
              <c:tx>
                <c:rich>
                  <a:bodyPr/>
                  <a:lstStyle/>
                  <a:p>
                    <a:r>
                      <a:rPr lang="ru-RU"/>
                      <a:t>грейферы</a:t>
                    </a:r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8.7227400065837554E-2"/>
                  <c:y val="-4.6550290939318374E-2"/>
                </c:manualLayout>
              </c:layout>
              <c:tx>
                <c:rich>
                  <a:bodyPr/>
                  <a:lstStyle/>
                  <a:p>
                    <a:r>
                      <a:rPr lang="ru-RU"/>
                      <a:t>Вибропитатели</a:t>
                    </a:r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xVal>
            <c:numRef>
              <c:f>'продукт стратегия'!$D$4:$D$10</c:f>
              <c:numCache>
                <c:formatCode>0.00</c:formatCode>
                <c:ptCount val="7"/>
                <c:pt idx="0">
                  <c:v>0.63973063973063971</c:v>
                </c:pt>
                <c:pt idx="1">
                  <c:v>1.2837837837837838</c:v>
                </c:pt>
                <c:pt idx="2">
                  <c:v>1</c:v>
                </c:pt>
                <c:pt idx="3">
                  <c:v>0.76595744680851074</c:v>
                </c:pt>
                <c:pt idx="4">
                  <c:v>2.0609756097560976</c:v>
                </c:pt>
                <c:pt idx="5">
                  <c:v>0.85714285714285721</c:v>
                </c:pt>
                <c:pt idx="6">
                  <c:v>1.6153846153846154</c:v>
                </c:pt>
              </c:numCache>
            </c:numRef>
          </c:xVal>
          <c:yVal>
            <c:numRef>
              <c:f>'продукт стратегия'!$H$4:$H$10</c:f>
              <c:numCache>
                <c:formatCode>#,##0.0</c:formatCode>
                <c:ptCount val="7"/>
                <c:pt idx="0">
                  <c:v>115.48084705101277</c:v>
                </c:pt>
                <c:pt idx="1">
                  <c:v>106.75025159133298</c:v>
                </c:pt>
                <c:pt idx="2">
                  <c:v>110.81713381811029</c:v>
                </c:pt>
                <c:pt idx="3">
                  <c:v>122.56054797693514</c:v>
                </c:pt>
                <c:pt idx="4">
                  <c:v>106.62280476435784</c:v>
                </c:pt>
                <c:pt idx="5">
                  <c:v>110.96110430606537</c:v>
                </c:pt>
                <c:pt idx="6">
                  <c:v>99.951048377584016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0054784"/>
        <c:axId val="284785280"/>
      </c:scatterChart>
      <c:scatterChart>
        <c:scatterStyle val="smoothMarker"/>
        <c:varyColors val="0"/>
        <c:ser>
          <c:idx val="1"/>
          <c:order val="1"/>
          <c:tx>
            <c:v>100 %-ый темп роста (границы кластера)</c:v>
          </c:tx>
          <c:marker>
            <c:symbol val="none"/>
          </c:marker>
          <c:xVal>
            <c:numRef>
              <c:f>'продукт стратегия'!$M$3:$M$10</c:f>
              <c:numCache>
                <c:formatCode>0.00</c:formatCode>
                <c:ptCount val="8"/>
                <c:pt idx="0" formatCode="General">
                  <c:v>0.5</c:v>
                </c:pt>
                <c:pt idx="1">
                  <c:v>0.63973063973063971</c:v>
                </c:pt>
                <c:pt idx="2">
                  <c:v>1.2837837837837838</c:v>
                </c:pt>
                <c:pt idx="3">
                  <c:v>1</c:v>
                </c:pt>
                <c:pt idx="4">
                  <c:v>0.76595744680851074</c:v>
                </c:pt>
                <c:pt idx="5">
                  <c:v>2.0609756097560976</c:v>
                </c:pt>
                <c:pt idx="6">
                  <c:v>0.85714285714285721</c:v>
                </c:pt>
                <c:pt idx="7">
                  <c:v>1.6153846153846154</c:v>
                </c:pt>
              </c:numCache>
            </c:numRef>
          </c:xVal>
          <c:yVal>
            <c:numRef>
              <c:f>'продукт стратегия'!$N$3:$N$10</c:f>
              <c:numCache>
                <c:formatCode>General</c:formatCode>
                <c:ptCount val="8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  <c:pt idx="7">
                  <c:v>100</c:v>
                </c:pt>
              </c:numCache>
            </c:numRef>
          </c:yVal>
          <c:smooth val="1"/>
        </c:ser>
        <c:ser>
          <c:idx val="2"/>
          <c:order val="2"/>
          <c:tx>
            <c:v>относительная доля рынка = 1 (граница кластера)</c:v>
          </c:tx>
          <c:marker>
            <c:symbol val="none"/>
          </c:marker>
          <c:xVal>
            <c:numRef>
              <c:f>'продукт стратегия'!$J$2:$J$10</c:f>
              <c:numCache>
                <c:formatCode>General</c:formatCode>
                <c:ptCount val="9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</c:numCache>
            </c:numRef>
          </c:xVal>
          <c:yVal>
            <c:numRef>
              <c:f>'продукт стратегия'!$K$2:$K$10</c:f>
              <c:numCache>
                <c:formatCode>General</c:formatCode>
                <c:ptCount val="9"/>
                <c:pt idx="0">
                  <c:v>0</c:v>
                </c:pt>
                <c:pt idx="1">
                  <c:v>50</c:v>
                </c:pt>
                <c:pt idx="2">
                  <c:v>115.48084705101277</c:v>
                </c:pt>
                <c:pt idx="3">
                  <c:v>106.75025159133298</c:v>
                </c:pt>
                <c:pt idx="4">
                  <c:v>110.81713381811029</c:v>
                </c:pt>
                <c:pt idx="5">
                  <c:v>122.56054797693514</c:v>
                </c:pt>
                <c:pt idx="6">
                  <c:v>106.62280476435784</c:v>
                </c:pt>
                <c:pt idx="7">
                  <c:v>110.96110430606537</c:v>
                </c:pt>
                <c:pt idx="8">
                  <c:v>99.951048377584016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0054784"/>
        <c:axId val="284785280"/>
      </c:scatterChart>
      <c:valAx>
        <c:axId val="190054784"/>
        <c:scaling>
          <c:orientation val="minMax"/>
          <c:min val="0.5"/>
        </c:scaling>
        <c:delete val="0"/>
        <c:axPos val="b"/>
        <c:numFmt formatCode="0.00" sourceLinked="1"/>
        <c:majorTickMark val="out"/>
        <c:minorTickMark val="none"/>
        <c:tickLblPos val="nextTo"/>
        <c:crossAx val="284785280"/>
        <c:crosses val="autoZero"/>
        <c:crossBetween val="midCat"/>
      </c:valAx>
      <c:valAx>
        <c:axId val="284785280"/>
        <c:scaling>
          <c:orientation val="minMax"/>
          <c:min val="50"/>
        </c:scaling>
        <c:delete val="0"/>
        <c:axPos val="l"/>
        <c:numFmt formatCode="#,##0.0" sourceLinked="1"/>
        <c:majorTickMark val="out"/>
        <c:minorTickMark val="none"/>
        <c:tickLblPos val="nextTo"/>
        <c:crossAx val="190054784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3.xml"/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61</xdr:row>
      <xdr:rowOff>0</xdr:rowOff>
    </xdr:from>
    <xdr:to>
      <xdr:col>4</xdr:col>
      <xdr:colOff>1038225</xdr:colOff>
      <xdr:row>75</xdr:row>
      <xdr:rowOff>95250</xdr:rowOff>
    </xdr:to>
    <xdr:pic>
      <xdr:nvPicPr>
        <xdr:cNvPr id="2" name="Диаграмма 2"/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7941" t="-4276" r="-36859" b="-15685"/>
        <a:stretch>
          <a:fillRect/>
        </a:stretch>
      </xdr:blipFill>
      <xdr:spPr bwMode="auto">
        <a:xfrm>
          <a:off x="0" y="24822150"/>
          <a:ext cx="6667500" cy="2762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200025</xdr:colOff>
      <xdr:row>4</xdr:row>
      <xdr:rowOff>0</xdr:rowOff>
    </xdr:from>
    <xdr:to>
      <xdr:col>14</xdr:col>
      <xdr:colOff>104775</xdr:colOff>
      <xdr:row>11</xdr:row>
      <xdr:rowOff>76200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37</xdr:row>
      <xdr:rowOff>9523</xdr:rowOff>
    </xdr:from>
    <xdr:to>
      <xdr:col>9</xdr:col>
      <xdr:colOff>285750</xdr:colOff>
      <xdr:row>56</xdr:row>
      <xdr:rowOff>161925</xdr:rowOff>
    </xdr:to>
    <xdr:graphicFrame macro="">
      <xdr:nvGraphicFramePr>
        <xdr:cNvPr id="8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552449</xdr:colOff>
      <xdr:row>100</xdr:row>
      <xdr:rowOff>123824</xdr:rowOff>
    </xdr:from>
    <xdr:to>
      <xdr:col>8</xdr:col>
      <xdr:colOff>723899</xdr:colOff>
      <xdr:row>122</xdr:row>
      <xdr:rowOff>161925</xdr:rowOff>
    </xdr:to>
    <xdr:graphicFrame macro="">
      <xdr:nvGraphicFramePr>
        <xdr:cNvPr id="9" name="Диаграмма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600075</xdr:colOff>
      <xdr:row>126</xdr:row>
      <xdr:rowOff>0</xdr:rowOff>
    </xdr:from>
    <xdr:to>
      <xdr:col>6</xdr:col>
      <xdr:colOff>409575</xdr:colOff>
      <xdr:row>140</xdr:row>
      <xdr:rowOff>76200</xdr:rowOff>
    </xdr:to>
    <xdr:graphicFrame macro="">
      <xdr:nvGraphicFramePr>
        <xdr:cNvPr id="10" name="Диаграмма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209550</xdr:colOff>
      <xdr:row>171</xdr:row>
      <xdr:rowOff>190496</xdr:rowOff>
    </xdr:from>
    <xdr:to>
      <xdr:col>10</xdr:col>
      <xdr:colOff>228600</xdr:colOff>
      <xdr:row>195</xdr:row>
      <xdr:rowOff>162622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504824</xdr:colOff>
      <xdr:row>226</xdr:row>
      <xdr:rowOff>123825</xdr:rowOff>
    </xdr:from>
    <xdr:to>
      <xdr:col>8</xdr:col>
      <xdr:colOff>228600</xdr:colOff>
      <xdr:row>247</xdr:row>
      <xdr:rowOff>28575</xdr:rowOff>
    </xdr:to>
    <xdr:graphicFrame macro="">
      <xdr:nvGraphicFramePr>
        <xdr:cNvPr id="3" name="Диаграмма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38100</xdr:colOff>
      <xdr:row>252</xdr:row>
      <xdr:rowOff>123824</xdr:rowOff>
    </xdr:from>
    <xdr:to>
      <xdr:col>6</xdr:col>
      <xdr:colOff>828675</xdr:colOff>
      <xdr:row>269</xdr:row>
      <xdr:rowOff>180975</xdr:rowOff>
    </xdr:to>
    <xdr:graphicFrame macro="">
      <xdr:nvGraphicFramePr>
        <xdr:cNvPr id="4" name="Диаграмма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8</xdr:col>
      <xdr:colOff>35718</xdr:colOff>
      <xdr:row>252</xdr:row>
      <xdr:rowOff>116682</xdr:rowOff>
    </xdr:from>
    <xdr:to>
      <xdr:col>18</xdr:col>
      <xdr:colOff>261937</xdr:colOff>
      <xdr:row>270</xdr:row>
      <xdr:rowOff>95250</xdr:rowOff>
    </xdr:to>
    <xdr:graphicFrame macro="">
      <xdr:nvGraphicFramePr>
        <xdr:cNvPr id="5" name="Диаграмма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23810</xdr:colOff>
      <xdr:row>273</xdr:row>
      <xdr:rowOff>92869</xdr:rowOff>
    </xdr:from>
    <xdr:to>
      <xdr:col>12</xdr:col>
      <xdr:colOff>285749</xdr:colOff>
      <xdr:row>293</xdr:row>
      <xdr:rowOff>47625</xdr:rowOff>
    </xdr:to>
    <xdr:graphicFrame macro="">
      <xdr:nvGraphicFramePr>
        <xdr:cNvPr id="6" name="Диаграмма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800100</xdr:colOff>
      <xdr:row>35</xdr:row>
      <xdr:rowOff>47624</xdr:rowOff>
    </xdr:from>
    <xdr:to>
      <xdr:col>7</xdr:col>
      <xdr:colOff>523875</xdr:colOff>
      <xdr:row>51</xdr:row>
      <xdr:rowOff>57149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247651</xdr:colOff>
      <xdr:row>2</xdr:row>
      <xdr:rowOff>19050</xdr:rowOff>
    </xdr:from>
    <xdr:to>
      <xdr:col>14</xdr:col>
      <xdr:colOff>228600</xdr:colOff>
      <xdr:row>16</xdr:row>
      <xdr:rowOff>9525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371475</xdr:colOff>
      <xdr:row>69</xdr:row>
      <xdr:rowOff>180975</xdr:rowOff>
    </xdr:from>
    <xdr:to>
      <xdr:col>7</xdr:col>
      <xdr:colOff>95250</xdr:colOff>
      <xdr:row>84</xdr:row>
      <xdr:rowOff>66675</xdr:rowOff>
    </xdr:to>
    <xdr:graphicFrame macro="">
      <xdr:nvGraphicFramePr>
        <xdr:cNvPr id="3" name="Диаграмма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16543</xdr:colOff>
      <xdr:row>70</xdr:row>
      <xdr:rowOff>3008</xdr:rowOff>
    </xdr:from>
    <xdr:to>
      <xdr:col>16</xdr:col>
      <xdr:colOff>151397</xdr:colOff>
      <xdr:row>84</xdr:row>
      <xdr:rowOff>79208</xdr:rowOff>
    </xdr:to>
    <xdr:graphicFrame macro="">
      <xdr:nvGraphicFramePr>
        <xdr:cNvPr id="4" name="Диаграмма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142874</xdr:colOff>
      <xdr:row>37</xdr:row>
      <xdr:rowOff>19050</xdr:rowOff>
    </xdr:from>
    <xdr:to>
      <xdr:col>11</xdr:col>
      <xdr:colOff>66675</xdr:colOff>
      <xdr:row>51</xdr:row>
      <xdr:rowOff>95250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142875</xdr:colOff>
      <xdr:row>60</xdr:row>
      <xdr:rowOff>28575</xdr:rowOff>
    </xdr:from>
    <xdr:to>
      <xdr:col>10</xdr:col>
      <xdr:colOff>85725</xdr:colOff>
      <xdr:row>72</xdr:row>
      <xdr:rowOff>104775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123825</xdr:colOff>
      <xdr:row>73</xdr:row>
      <xdr:rowOff>19050</xdr:rowOff>
    </xdr:from>
    <xdr:to>
      <xdr:col>10</xdr:col>
      <xdr:colOff>66675</xdr:colOff>
      <xdr:row>87</xdr:row>
      <xdr:rowOff>95250</xdr:rowOff>
    </xdr:to>
    <xdr:graphicFrame macro="">
      <xdr:nvGraphicFramePr>
        <xdr:cNvPr id="3" name="Диаграмма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171450</xdr:colOff>
      <xdr:row>60</xdr:row>
      <xdr:rowOff>47625</xdr:rowOff>
    </xdr:from>
    <xdr:to>
      <xdr:col>17</xdr:col>
      <xdr:colOff>476250</xdr:colOff>
      <xdr:row>72</xdr:row>
      <xdr:rowOff>104775</xdr:rowOff>
    </xdr:to>
    <xdr:graphicFrame macro="">
      <xdr:nvGraphicFramePr>
        <xdr:cNvPr id="4" name="Диаграмма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542924</xdr:colOff>
      <xdr:row>11</xdr:row>
      <xdr:rowOff>0</xdr:rowOff>
    </xdr:from>
    <xdr:to>
      <xdr:col>6</xdr:col>
      <xdr:colOff>19050</xdr:colOff>
      <xdr:row>31</xdr:row>
      <xdr:rowOff>9525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7"/>
  <sheetViews>
    <sheetView topLeftCell="A37" zoomScaleNormal="100" workbookViewId="0">
      <selection activeCell="A55" sqref="A55"/>
    </sheetView>
  </sheetViews>
  <sheetFormatPr defaultRowHeight="14.25" x14ac:dyDescent="0.2"/>
  <cols>
    <col min="1" max="1" width="26.5703125" style="1" customWidth="1"/>
    <col min="2" max="2" width="11.28515625" style="3" customWidth="1"/>
    <col min="3" max="3" width="11.28515625" style="1" customWidth="1"/>
    <col min="4" max="4" width="10.7109375" style="1" customWidth="1"/>
    <col min="5" max="5" width="10.5703125" style="1" customWidth="1"/>
    <col min="6" max="6" width="10.85546875" style="1" customWidth="1"/>
    <col min="7" max="7" width="10.140625" style="1" customWidth="1"/>
    <col min="8" max="8" width="9.42578125" style="1" customWidth="1"/>
    <col min="9" max="9" width="9.5703125" style="1" bestFit="1" customWidth="1"/>
    <col min="10" max="10" width="11" style="1" customWidth="1"/>
    <col min="11" max="11" width="9.5703125" style="1" customWidth="1"/>
    <col min="12" max="12" width="8.7109375" style="1" customWidth="1"/>
    <col min="13" max="13" width="11.5703125" style="1" customWidth="1"/>
    <col min="14" max="14" width="8.85546875" style="1" customWidth="1"/>
    <col min="15" max="15" width="8.42578125" style="1" customWidth="1"/>
    <col min="16" max="16" width="8.7109375" style="1" customWidth="1"/>
    <col min="17" max="17" width="8.85546875" style="1" customWidth="1"/>
    <col min="18" max="18" width="8.42578125" style="1" customWidth="1"/>
    <col min="19" max="19" width="7.140625" style="1" customWidth="1"/>
    <col min="20" max="20" width="15.85546875" style="1" customWidth="1"/>
    <col min="21" max="21" width="12" style="1" customWidth="1"/>
    <col min="22" max="22" width="13.28515625" style="1" customWidth="1"/>
    <col min="23" max="35" width="9.140625" style="1"/>
    <col min="36" max="36" width="12.5703125" style="1" customWidth="1"/>
    <col min="37" max="16384" width="9.140625" style="1"/>
  </cols>
  <sheetData>
    <row r="1" spans="1:13" ht="15" x14ac:dyDescent="0.25">
      <c r="A1" s="8" t="s">
        <v>253</v>
      </c>
    </row>
    <row r="2" spans="1:13" ht="15" customHeight="1" x14ac:dyDescent="0.2">
      <c r="A2" s="418" t="s">
        <v>254</v>
      </c>
      <c r="B2" s="418"/>
      <c r="C2" s="418"/>
      <c r="D2" s="418"/>
      <c r="E2" s="418"/>
      <c r="F2" s="418"/>
      <c r="G2" s="418"/>
      <c r="H2" s="418"/>
      <c r="I2" s="418"/>
      <c r="J2" s="418"/>
      <c r="K2" s="418"/>
      <c r="L2" s="418"/>
      <c r="M2" s="418"/>
    </row>
    <row r="3" spans="1:13" ht="15.75" customHeight="1" x14ac:dyDescent="0.2">
      <c r="A3" s="418"/>
      <c r="B3" s="418"/>
      <c r="C3" s="418"/>
      <c r="D3" s="418"/>
      <c r="E3" s="418"/>
      <c r="F3" s="418"/>
      <c r="G3" s="418"/>
      <c r="H3" s="418"/>
      <c r="I3" s="418"/>
      <c r="J3" s="418"/>
      <c r="K3" s="418"/>
      <c r="L3" s="418"/>
      <c r="M3" s="418"/>
    </row>
    <row r="4" spans="1:13" ht="15.75" x14ac:dyDescent="0.2">
      <c r="A4" s="59" t="s">
        <v>27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13" ht="19.5" thickBot="1" x14ac:dyDescent="0.25">
      <c r="A5" s="10" t="s">
        <v>46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15" x14ac:dyDescent="0.2">
      <c r="A6" s="415" t="s">
        <v>28</v>
      </c>
      <c r="B6" s="419">
        <v>2016</v>
      </c>
      <c r="C6" s="420"/>
      <c r="D6" s="420"/>
      <c r="E6" s="420"/>
      <c r="F6" s="420"/>
      <c r="G6" s="420"/>
      <c r="H6" s="420"/>
      <c r="I6" s="420"/>
      <c r="J6" s="420"/>
      <c r="K6" s="420"/>
      <c r="L6" s="420"/>
      <c r="M6" s="421"/>
    </row>
    <row r="7" spans="1:13" ht="15.75" thickBot="1" x14ac:dyDescent="0.25">
      <c r="A7" s="416"/>
      <c r="B7" s="87" t="s">
        <v>29</v>
      </c>
      <c r="C7" s="83" t="s">
        <v>30</v>
      </c>
      <c r="D7" s="83" t="s">
        <v>31</v>
      </c>
      <c r="E7" s="83" t="s">
        <v>32</v>
      </c>
      <c r="F7" s="83" t="s">
        <v>33</v>
      </c>
      <c r="G7" s="83" t="s">
        <v>34</v>
      </c>
      <c r="H7" s="83" t="s">
        <v>35</v>
      </c>
      <c r="I7" s="83" t="s">
        <v>36</v>
      </c>
      <c r="J7" s="83" t="s">
        <v>37</v>
      </c>
      <c r="K7" s="83" t="s">
        <v>38</v>
      </c>
      <c r="L7" s="83" t="s">
        <v>39</v>
      </c>
      <c r="M7" s="84" t="s">
        <v>40</v>
      </c>
    </row>
    <row r="8" spans="1:13" ht="30" x14ac:dyDescent="0.2">
      <c r="A8" s="89" t="s">
        <v>41</v>
      </c>
      <c r="B8" s="81">
        <v>1174.2</v>
      </c>
      <c r="C8" s="85">
        <v>1237.5</v>
      </c>
      <c r="D8" s="85">
        <v>1302.8</v>
      </c>
      <c r="E8" s="85">
        <v>1396</v>
      </c>
      <c r="F8" s="85">
        <v>1485.3</v>
      </c>
      <c r="G8" s="85">
        <v>1582.3</v>
      </c>
      <c r="H8" s="85">
        <v>1593.4</v>
      </c>
      <c r="I8" s="85">
        <v>1549</v>
      </c>
      <c r="J8" s="85">
        <v>1560.8</v>
      </c>
      <c r="K8" s="85">
        <v>1572.8</v>
      </c>
      <c r="L8" s="85">
        <v>1567.8</v>
      </c>
      <c r="M8" s="86">
        <v>1748.8</v>
      </c>
    </row>
    <row r="9" spans="1:13" ht="15" x14ac:dyDescent="0.2">
      <c r="A9" s="90" t="s">
        <v>42</v>
      </c>
      <c r="B9" s="88">
        <v>2971.3</v>
      </c>
      <c r="C9" s="60">
        <v>3140.5</v>
      </c>
      <c r="D9" s="60">
        <v>3587.4</v>
      </c>
      <c r="E9" s="60">
        <v>3866.3</v>
      </c>
      <c r="F9" s="60">
        <v>3954.8</v>
      </c>
      <c r="G9" s="60">
        <v>4220.3999999999996</v>
      </c>
      <c r="H9" s="60">
        <v>4226</v>
      </c>
      <c r="I9" s="60">
        <v>4026.4</v>
      </c>
      <c r="J9" s="60">
        <v>4038.8</v>
      </c>
      <c r="K9" s="60">
        <v>4283.3</v>
      </c>
      <c r="L9" s="60">
        <v>4355</v>
      </c>
      <c r="M9" s="82">
        <v>4603</v>
      </c>
    </row>
    <row r="10" spans="1:13" ht="15" x14ac:dyDescent="0.2">
      <c r="A10" s="90" t="s">
        <v>43</v>
      </c>
      <c r="B10" s="88">
        <v>8567.5</v>
      </c>
      <c r="C10" s="60">
        <v>8783.4</v>
      </c>
      <c r="D10" s="60">
        <v>9738.5</v>
      </c>
      <c r="E10" s="60">
        <v>9781.6</v>
      </c>
      <c r="F10" s="60">
        <v>10150.9</v>
      </c>
      <c r="G10" s="60">
        <v>10669.5</v>
      </c>
      <c r="H10" s="60">
        <v>11240.9</v>
      </c>
      <c r="I10" s="60">
        <v>10923.6</v>
      </c>
      <c r="J10" s="60">
        <v>11174</v>
      </c>
      <c r="K10" s="60">
        <v>11398</v>
      </c>
      <c r="L10" s="60">
        <v>11825.8</v>
      </c>
      <c r="M10" s="82">
        <v>12589.9</v>
      </c>
    </row>
    <row r="11" spans="1:13" ht="15.75" thickBot="1" x14ac:dyDescent="0.25">
      <c r="A11" s="91" t="s">
        <v>44</v>
      </c>
      <c r="B11" s="87">
        <v>17697.099999999999</v>
      </c>
      <c r="C11" s="83">
        <v>17428.8</v>
      </c>
      <c r="D11" s="83">
        <v>17787.7</v>
      </c>
      <c r="E11" s="83">
        <v>17729.2</v>
      </c>
      <c r="F11" s="83">
        <v>17985.900000000001</v>
      </c>
      <c r="G11" s="83">
        <v>18398.900000000001</v>
      </c>
      <c r="H11" s="83">
        <v>19491.599999999999</v>
      </c>
      <c r="I11" s="83">
        <v>18900</v>
      </c>
      <c r="J11" s="83">
        <v>19188.8</v>
      </c>
      <c r="K11" s="83">
        <v>19327</v>
      </c>
      <c r="L11" s="83">
        <v>19725.900000000001</v>
      </c>
      <c r="M11" s="84">
        <v>19912.599999999999</v>
      </c>
    </row>
    <row r="12" spans="1:13" ht="15" x14ac:dyDescent="0.25">
      <c r="A12" s="79"/>
      <c r="B12" s="80"/>
    </row>
    <row r="13" spans="1:13" ht="30.75" customHeight="1" x14ac:dyDescent="0.25">
      <c r="A13" s="417" t="s">
        <v>255</v>
      </c>
      <c r="B13" s="417"/>
      <c r="C13" s="417"/>
      <c r="D13" s="417"/>
      <c r="E13" s="417"/>
      <c r="F13" s="417"/>
    </row>
    <row r="14" spans="1:13" ht="15.75" thickBot="1" x14ac:dyDescent="0.3">
      <c r="A14" s="79"/>
      <c r="B14" s="80"/>
    </row>
    <row r="15" spans="1:13" ht="43.5" thickBot="1" x14ac:dyDescent="0.25">
      <c r="A15" s="99" t="s">
        <v>242</v>
      </c>
      <c r="B15" s="113" t="s">
        <v>243</v>
      </c>
      <c r="C15" s="1" t="s">
        <v>248</v>
      </c>
    </row>
    <row r="16" spans="1:13" x14ac:dyDescent="0.2">
      <c r="A16" s="97" t="s">
        <v>244</v>
      </c>
      <c r="B16" s="98">
        <v>4</v>
      </c>
      <c r="C16" s="1" t="s">
        <v>249</v>
      </c>
    </row>
    <row r="17" spans="1:36" x14ac:dyDescent="0.2">
      <c r="A17" s="93" t="s">
        <v>245</v>
      </c>
      <c r="B17" s="94">
        <v>7</v>
      </c>
      <c r="C17" s="1" t="s">
        <v>250</v>
      </c>
    </row>
    <row r="18" spans="1:36" x14ac:dyDescent="0.2">
      <c r="A18" s="93" t="s">
        <v>246</v>
      </c>
      <c r="B18" s="94">
        <v>10</v>
      </c>
      <c r="C18" s="1" t="s">
        <v>251</v>
      </c>
    </row>
    <row r="19" spans="1:36" ht="15" thickBot="1" x14ac:dyDescent="0.25">
      <c r="A19" s="95" t="s">
        <v>247</v>
      </c>
      <c r="B19" s="96">
        <v>3</v>
      </c>
      <c r="C19" s="1" t="s">
        <v>252</v>
      </c>
    </row>
    <row r="20" spans="1:36" ht="15" x14ac:dyDescent="0.25">
      <c r="A20" s="79"/>
      <c r="B20" s="80"/>
    </row>
    <row r="21" spans="1:36" ht="15.75" thickBot="1" x14ac:dyDescent="0.3">
      <c r="A21" s="8" t="s">
        <v>256</v>
      </c>
    </row>
    <row r="22" spans="1:36" ht="42.75" x14ac:dyDescent="0.2">
      <c r="A22" s="100" t="s">
        <v>0</v>
      </c>
      <c r="B22" s="101">
        <v>80.599999999999994</v>
      </c>
      <c r="C22" s="102">
        <v>80.7</v>
      </c>
      <c r="D22" s="102">
        <v>91.5</v>
      </c>
      <c r="E22" s="102">
        <v>99.6</v>
      </c>
      <c r="F22" s="102">
        <v>100.3</v>
      </c>
      <c r="G22" s="102">
        <v>100.6</v>
      </c>
      <c r="H22" s="102">
        <v>100.9</v>
      </c>
      <c r="I22" s="102">
        <v>101.1</v>
      </c>
      <c r="J22" s="102">
        <v>101.9</v>
      </c>
      <c r="K22" s="102">
        <v>102</v>
      </c>
      <c r="L22" s="102">
        <v>102.4</v>
      </c>
      <c r="M22" s="102">
        <v>102.5</v>
      </c>
    </row>
    <row r="23" spans="1:36" ht="29.25" thickBot="1" x14ac:dyDescent="0.25">
      <c r="A23" s="105" t="s">
        <v>2</v>
      </c>
      <c r="B23" s="103">
        <v>1</v>
      </c>
      <c r="C23" s="104">
        <v>1</v>
      </c>
      <c r="D23" s="104">
        <v>1</v>
      </c>
      <c r="E23" s="104">
        <v>1</v>
      </c>
      <c r="F23" s="104">
        <v>1</v>
      </c>
      <c r="G23" s="104">
        <v>1</v>
      </c>
      <c r="H23" s="104">
        <v>1</v>
      </c>
      <c r="I23" s="104">
        <v>1</v>
      </c>
      <c r="J23" s="104">
        <v>1</v>
      </c>
      <c r="K23" s="104">
        <v>1</v>
      </c>
      <c r="L23" s="104">
        <v>1</v>
      </c>
      <c r="M23" s="104">
        <v>1</v>
      </c>
    </row>
    <row r="24" spans="1:36" ht="15" thickBot="1" x14ac:dyDescent="0.25">
      <c r="A24" s="79"/>
      <c r="B24" s="76"/>
      <c r="C24" s="76"/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G24" s="76"/>
      <c r="AH24" s="76"/>
      <c r="AI24" s="76"/>
      <c r="AJ24" s="76"/>
    </row>
    <row r="25" spans="1:36" ht="42.75" x14ac:dyDescent="0.2">
      <c r="A25" s="100" t="s">
        <v>0</v>
      </c>
      <c r="B25" s="102">
        <v>103.1</v>
      </c>
      <c r="C25" s="102">
        <v>103.9</v>
      </c>
      <c r="D25" s="102">
        <v>105.2</v>
      </c>
      <c r="E25" s="102">
        <v>105.8</v>
      </c>
      <c r="F25" s="102">
        <v>105.8</v>
      </c>
      <c r="G25" s="102">
        <v>106.1</v>
      </c>
      <c r="H25" s="102">
        <v>106.4</v>
      </c>
      <c r="I25" s="102">
        <v>107</v>
      </c>
      <c r="J25" s="102">
        <v>107.1</v>
      </c>
      <c r="K25" s="102">
        <v>107.4</v>
      </c>
      <c r="L25" s="102">
        <v>108.1</v>
      </c>
      <c r="M25" s="102">
        <v>108.3</v>
      </c>
      <c r="N25" s="102">
        <v>108.9</v>
      </c>
      <c r="O25" s="76"/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/>
      <c r="AG25" s="76"/>
      <c r="AH25" s="76"/>
      <c r="AI25" s="76"/>
      <c r="AJ25" s="76"/>
    </row>
    <row r="26" spans="1:36" ht="29.25" thickBot="1" x14ac:dyDescent="0.25">
      <c r="A26" s="105" t="s">
        <v>2</v>
      </c>
      <c r="B26" s="104">
        <v>1</v>
      </c>
      <c r="C26" s="104">
        <v>1</v>
      </c>
      <c r="D26" s="104">
        <v>1</v>
      </c>
      <c r="E26" s="104">
        <v>1</v>
      </c>
      <c r="F26" s="104">
        <v>1</v>
      </c>
      <c r="G26" s="104">
        <v>1</v>
      </c>
      <c r="H26" s="104">
        <v>1</v>
      </c>
      <c r="I26" s="104">
        <v>1</v>
      </c>
      <c r="J26" s="104">
        <v>1</v>
      </c>
      <c r="K26" s="104">
        <v>1</v>
      </c>
      <c r="L26" s="104">
        <v>1</v>
      </c>
      <c r="M26" s="104">
        <v>1</v>
      </c>
      <c r="N26" s="104">
        <v>1</v>
      </c>
      <c r="O26" s="76"/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6"/>
      <c r="AA26" s="76"/>
      <c r="AB26" s="76"/>
      <c r="AC26" s="76"/>
      <c r="AD26" s="76"/>
      <c r="AE26" s="76"/>
      <c r="AF26" s="76"/>
      <c r="AG26" s="76"/>
      <c r="AH26" s="76"/>
      <c r="AI26" s="76"/>
      <c r="AJ26" s="76"/>
    </row>
    <row r="27" spans="1:36" ht="15" thickBot="1" x14ac:dyDescent="0.25">
      <c r="A27" s="79"/>
      <c r="B27" s="76"/>
      <c r="C27" s="76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6"/>
      <c r="AE27" s="76"/>
      <c r="AF27" s="76"/>
      <c r="AG27" s="76"/>
      <c r="AH27" s="76"/>
      <c r="AI27" s="76"/>
      <c r="AJ27" s="76"/>
    </row>
    <row r="28" spans="1:36" ht="42.75" x14ac:dyDescent="0.2">
      <c r="A28" s="100" t="s">
        <v>0</v>
      </c>
      <c r="B28" s="102">
        <v>109.3</v>
      </c>
      <c r="C28" s="102">
        <v>109.9</v>
      </c>
      <c r="D28" s="102">
        <v>110.7</v>
      </c>
      <c r="E28" s="102">
        <v>111.5</v>
      </c>
      <c r="F28" s="102">
        <v>115.4</v>
      </c>
      <c r="G28" s="102">
        <v>123.5</v>
      </c>
      <c r="H28" s="102">
        <v>125.6</v>
      </c>
      <c r="I28" s="102">
        <v>130.80000000000001</v>
      </c>
      <c r="J28" s="102">
        <v>130.9</v>
      </c>
      <c r="K28" s="92">
        <v>150.6</v>
      </c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6"/>
      <c r="AA28" s="76"/>
      <c r="AB28" s="76"/>
      <c r="AC28" s="76"/>
      <c r="AD28" s="76"/>
      <c r="AE28" s="76"/>
      <c r="AF28" s="76"/>
      <c r="AG28" s="76"/>
      <c r="AH28" s="76"/>
      <c r="AI28" s="76"/>
      <c r="AJ28" s="76"/>
    </row>
    <row r="29" spans="1:36" ht="29.25" thickBot="1" x14ac:dyDescent="0.25">
      <c r="A29" s="105" t="s">
        <v>2</v>
      </c>
      <c r="B29" s="104">
        <v>1</v>
      </c>
      <c r="C29" s="104">
        <v>1</v>
      </c>
      <c r="D29" s="104">
        <v>1</v>
      </c>
      <c r="E29" s="104">
        <v>1</v>
      </c>
      <c r="F29" s="104">
        <v>1</v>
      </c>
      <c r="G29" s="104">
        <v>1</v>
      </c>
      <c r="H29" s="104">
        <v>1</v>
      </c>
      <c r="I29" s="104">
        <v>1</v>
      </c>
      <c r="J29" s="104">
        <v>1</v>
      </c>
      <c r="K29" s="96">
        <v>1</v>
      </c>
      <c r="L29" s="76"/>
      <c r="M29" s="76"/>
      <c r="N29" s="76"/>
      <c r="O29" s="76"/>
      <c r="P29" s="76"/>
      <c r="Q29" s="76"/>
      <c r="R29" s="76"/>
      <c r="S29" s="76"/>
      <c r="T29" s="76"/>
      <c r="U29" s="76"/>
      <c r="V29" s="76"/>
      <c r="W29" s="76"/>
      <c r="X29" s="76"/>
      <c r="Y29" s="76"/>
      <c r="Z29" s="76"/>
      <c r="AA29" s="76"/>
      <c r="AB29" s="76"/>
      <c r="AC29" s="76"/>
      <c r="AD29" s="76"/>
      <c r="AE29" s="76"/>
      <c r="AF29" s="76"/>
      <c r="AG29" s="76"/>
      <c r="AH29" s="76"/>
      <c r="AI29" s="76"/>
      <c r="AJ29" s="76"/>
    </row>
    <row r="30" spans="1:36" x14ac:dyDescent="0.2">
      <c r="A30" s="79"/>
      <c r="B30" s="76"/>
      <c r="C30" s="76"/>
      <c r="D30" s="76"/>
      <c r="E30" s="76"/>
      <c r="F30" s="76"/>
      <c r="G30" s="76"/>
      <c r="H30" s="76"/>
      <c r="I30" s="76"/>
      <c r="J30" s="76"/>
      <c r="K30" s="76"/>
      <c r="L30" s="76"/>
      <c r="M30" s="76"/>
      <c r="N30" s="76"/>
      <c r="O30" s="76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</row>
    <row r="31" spans="1:36" ht="15.75" thickBot="1" x14ac:dyDescent="0.3">
      <c r="A31" s="8" t="s">
        <v>257</v>
      </c>
    </row>
    <row r="32" spans="1:36" s="7" customFormat="1" ht="29.25" thickBot="1" x14ac:dyDescent="0.25">
      <c r="A32" s="111" t="s">
        <v>3</v>
      </c>
      <c r="B32" s="112" t="s">
        <v>4</v>
      </c>
      <c r="C32" s="112" t="s">
        <v>5</v>
      </c>
      <c r="D32" s="113" t="s">
        <v>262</v>
      </c>
      <c r="E32" s="77"/>
      <c r="F32" s="77"/>
      <c r="G32" s="77"/>
      <c r="H32" s="77"/>
      <c r="I32" s="77"/>
    </row>
    <row r="33" spans="1:9" x14ac:dyDescent="0.2">
      <c r="A33" s="109">
        <v>1</v>
      </c>
      <c r="B33" s="110">
        <v>80.599999999999994</v>
      </c>
      <c r="C33" s="110">
        <v>92.266666666666666</v>
      </c>
      <c r="D33" s="98">
        <v>3</v>
      </c>
      <c r="E33" s="61"/>
      <c r="F33" s="61"/>
      <c r="G33" s="61"/>
      <c r="H33" s="76"/>
      <c r="I33" s="61"/>
    </row>
    <row r="34" spans="1:9" x14ac:dyDescent="0.2">
      <c r="A34" s="107">
        <v>2</v>
      </c>
      <c r="B34" s="6">
        <v>92.266666666666666</v>
      </c>
      <c r="C34" s="6">
        <v>103.93333333333334</v>
      </c>
      <c r="D34" s="94">
        <v>11</v>
      </c>
      <c r="E34" s="61"/>
      <c r="F34" s="61"/>
      <c r="G34" s="61"/>
      <c r="H34" s="76"/>
      <c r="I34" s="61"/>
    </row>
    <row r="35" spans="1:9" s="8" customFormat="1" ht="15" x14ac:dyDescent="0.25">
      <c r="A35" s="107">
        <v>3</v>
      </c>
      <c r="B35" s="6">
        <v>103.93333333333334</v>
      </c>
      <c r="C35" s="6">
        <v>115.60000000000001</v>
      </c>
      <c r="D35" s="94">
        <v>16</v>
      </c>
      <c r="E35" s="106"/>
      <c r="F35" s="106"/>
      <c r="G35" s="106"/>
      <c r="H35" s="76"/>
      <c r="I35" s="61"/>
    </row>
    <row r="36" spans="1:9" x14ac:dyDescent="0.2">
      <c r="A36" s="107">
        <v>4</v>
      </c>
      <c r="B36" s="6">
        <v>115.60000000000001</v>
      </c>
      <c r="C36" s="6">
        <v>127.26666666666668</v>
      </c>
      <c r="D36" s="94">
        <v>2</v>
      </c>
      <c r="E36" s="61"/>
      <c r="F36" s="61"/>
      <c r="G36" s="61"/>
      <c r="H36" s="76"/>
      <c r="I36" s="61"/>
    </row>
    <row r="37" spans="1:9" x14ac:dyDescent="0.2">
      <c r="A37" s="107">
        <v>5</v>
      </c>
      <c r="B37" s="6">
        <v>127.26666666666668</v>
      </c>
      <c r="C37" s="6">
        <v>138.93333333333334</v>
      </c>
      <c r="D37" s="94">
        <v>2</v>
      </c>
      <c r="E37" s="61"/>
      <c r="F37" s="61"/>
      <c r="G37" s="61"/>
      <c r="H37" s="76"/>
      <c r="I37" s="61"/>
    </row>
    <row r="38" spans="1:9" ht="15" thickBot="1" x14ac:dyDescent="0.25">
      <c r="A38" s="103">
        <v>6</v>
      </c>
      <c r="B38" s="108">
        <v>138.93333333333334</v>
      </c>
      <c r="C38" s="108">
        <v>150.6</v>
      </c>
      <c r="D38" s="96">
        <v>1</v>
      </c>
      <c r="E38" s="61"/>
      <c r="F38" s="61"/>
      <c r="G38" s="61"/>
      <c r="H38" s="76"/>
      <c r="I38" s="61"/>
    </row>
    <row r="39" spans="1:9" ht="15" x14ac:dyDescent="0.25">
      <c r="A39" s="76"/>
      <c r="B39" s="11"/>
    </row>
    <row r="40" spans="1:9" ht="15" x14ac:dyDescent="0.25">
      <c r="A40" s="8" t="s">
        <v>258</v>
      </c>
    </row>
    <row r="41" spans="1:9" ht="15" x14ac:dyDescent="0.25">
      <c r="A41" s="8" t="s">
        <v>259</v>
      </c>
    </row>
    <row r="42" spans="1:9" ht="15" x14ac:dyDescent="0.25">
      <c r="A42" s="8" t="s">
        <v>260</v>
      </c>
    </row>
    <row r="43" spans="1:9" ht="15" x14ac:dyDescent="0.25">
      <c r="A43" s="8" t="s">
        <v>261</v>
      </c>
    </row>
    <row r="44" spans="1:9" ht="15" x14ac:dyDescent="0.25">
      <c r="A44" s="8"/>
    </row>
    <row r="45" spans="1:9" ht="15" x14ac:dyDescent="0.25">
      <c r="A45" s="8"/>
    </row>
    <row r="46" spans="1:9" ht="15" x14ac:dyDescent="0.25">
      <c r="A46" s="8"/>
    </row>
    <row r="47" spans="1:9" ht="15" x14ac:dyDescent="0.25">
      <c r="A47" s="8"/>
    </row>
  </sheetData>
  <mergeCells count="4">
    <mergeCell ref="A6:A7"/>
    <mergeCell ref="A13:F13"/>
    <mergeCell ref="A2:M3"/>
    <mergeCell ref="B6:M6"/>
  </mergeCells>
  <pageMargins left="0.19685039370078741" right="0.31496062992125984" top="0.19685039370078741" bottom="0.19685039370078741" header="0.31496062992125984" footer="0.31496062992125984"/>
  <pageSetup paperSize="9" scale="85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0"/>
  <sheetViews>
    <sheetView view="pageBreakPreview" topLeftCell="A108" zoomScale="87" zoomScaleNormal="100" zoomScaleSheetLayoutView="87" workbookViewId="0">
      <selection activeCell="B237" sqref="B237"/>
    </sheetView>
  </sheetViews>
  <sheetFormatPr defaultRowHeight="15" x14ac:dyDescent="0.25"/>
  <cols>
    <col min="1" max="1" width="33" style="13" customWidth="1"/>
    <col min="2" max="2" width="18.28515625" style="13" customWidth="1"/>
    <col min="3" max="3" width="16.85546875" style="13" customWidth="1"/>
    <col min="4" max="4" width="16.28515625" style="13" customWidth="1"/>
    <col min="5" max="5" width="20.42578125" style="13" customWidth="1"/>
    <col min="6" max="6" width="16" style="13" customWidth="1"/>
    <col min="7" max="7" width="24.7109375" style="13" customWidth="1"/>
    <col min="8" max="8" width="11.5703125" style="13" bestFit="1" customWidth="1"/>
    <col min="9" max="9" width="21.5703125" style="13" customWidth="1"/>
    <col min="10" max="10" width="14.42578125" style="13" customWidth="1"/>
    <col min="11" max="11" width="10" style="13" customWidth="1"/>
    <col min="12" max="12" width="11.5703125" style="13" bestFit="1" customWidth="1"/>
    <col min="13" max="13" width="9.140625" style="13"/>
    <col min="14" max="14" width="11.5703125" style="13" bestFit="1" customWidth="1"/>
    <col min="15" max="15" width="9.140625" style="13"/>
    <col min="16" max="16" width="11.5703125" style="13" bestFit="1" customWidth="1"/>
    <col min="17" max="17" width="10.7109375" style="13" customWidth="1"/>
    <col min="18" max="18" width="10.42578125" style="13" customWidth="1"/>
    <col min="19" max="23" width="9.140625" style="13"/>
    <col min="24" max="24" width="11.5703125" style="13" bestFit="1" customWidth="1"/>
    <col min="25" max="25" width="9.140625" style="13"/>
    <col min="26" max="26" width="10.5703125" style="13" bestFit="1" customWidth="1"/>
    <col min="27" max="16384" width="9.140625" style="13"/>
  </cols>
  <sheetData>
    <row r="1" spans="1:15" x14ac:dyDescent="0.25">
      <c r="A1" s="423" t="s">
        <v>51</v>
      </c>
      <c r="B1" s="423"/>
      <c r="C1" s="423"/>
      <c r="D1" s="423"/>
      <c r="E1" s="423"/>
      <c r="F1" s="423"/>
      <c r="G1" s="423"/>
      <c r="H1" s="423"/>
      <c r="I1" s="423"/>
      <c r="J1" s="423"/>
      <c r="K1" s="423"/>
      <c r="L1" s="423"/>
      <c r="M1" s="423"/>
      <c r="N1" s="423"/>
      <c r="O1" s="423"/>
    </row>
    <row r="3" spans="1:15" x14ac:dyDescent="0.25">
      <c r="A3" s="12" t="s">
        <v>50</v>
      </c>
    </row>
    <row r="4" spans="1:15" ht="38.25" customHeight="1" x14ac:dyDescent="0.3">
      <c r="A4" s="422" t="s">
        <v>212</v>
      </c>
      <c r="B4" s="422"/>
      <c r="C4" s="422"/>
      <c r="D4" s="422"/>
      <c r="E4" s="422"/>
      <c r="F4" s="422"/>
      <c r="G4" s="422"/>
      <c r="H4" s="422"/>
      <c r="I4" s="422"/>
      <c r="J4" s="422"/>
      <c r="K4" s="422"/>
      <c r="L4" s="39"/>
      <c r="M4" s="39"/>
      <c r="N4" s="39"/>
      <c r="O4" s="39"/>
    </row>
    <row r="5" spans="1:15" x14ac:dyDescent="0.25">
      <c r="A5" s="423" t="s">
        <v>54</v>
      </c>
      <c r="B5" s="423"/>
      <c r="C5" s="423"/>
      <c r="D5" s="39"/>
      <c r="E5" s="423" t="s">
        <v>69</v>
      </c>
      <c r="F5" s="423"/>
      <c r="G5" s="423"/>
      <c r="H5" s="423"/>
      <c r="I5" s="423"/>
      <c r="J5" s="423"/>
      <c r="K5" s="423"/>
      <c r="L5" s="423"/>
    </row>
    <row r="6" spans="1:15" ht="45" x14ac:dyDescent="0.25">
      <c r="A6" s="14" t="s">
        <v>52</v>
      </c>
      <c r="B6" s="14" t="s">
        <v>53</v>
      </c>
      <c r="E6" s="428"/>
      <c r="F6" s="428" t="s">
        <v>55</v>
      </c>
      <c r="G6" s="428" t="s">
        <v>56</v>
      </c>
      <c r="H6" s="428"/>
      <c r="I6" s="428"/>
      <c r="J6" s="428"/>
      <c r="K6" s="428"/>
    </row>
    <row r="7" spans="1:15" ht="29.25" customHeight="1" x14ac:dyDescent="0.25">
      <c r="A7" s="14" t="s">
        <v>7</v>
      </c>
      <c r="B7" s="14">
        <v>6375</v>
      </c>
      <c r="E7" s="428"/>
      <c r="F7" s="428"/>
      <c r="G7" s="428" t="s">
        <v>57</v>
      </c>
      <c r="H7" s="428" t="s">
        <v>58</v>
      </c>
      <c r="I7" s="428" t="s">
        <v>59</v>
      </c>
      <c r="J7" s="428"/>
      <c r="K7" s="428" t="s">
        <v>60</v>
      </c>
    </row>
    <row r="8" spans="1:15" ht="45" x14ac:dyDescent="0.25">
      <c r="A8" s="14" t="s">
        <v>8</v>
      </c>
      <c r="B8" s="14">
        <v>1044</v>
      </c>
      <c r="E8" s="428"/>
      <c r="F8" s="428"/>
      <c r="G8" s="428"/>
      <c r="H8" s="428"/>
      <c r="I8" s="35" t="s">
        <v>61</v>
      </c>
      <c r="J8" s="35" t="s">
        <v>63</v>
      </c>
      <c r="K8" s="428"/>
    </row>
    <row r="9" spans="1:15" ht="45" x14ac:dyDescent="0.25">
      <c r="A9" s="14" t="s">
        <v>9</v>
      </c>
      <c r="B9" s="14">
        <v>7573</v>
      </c>
      <c r="E9" s="428"/>
      <c r="F9" s="428"/>
      <c r="G9" s="428"/>
      <c r="H9" s="428"/>
      <c r="I9" s="35" t="s">
        <v>62</v>
      </c>
      <c r="J9" s="35" t="s">
        <v>64</v>
      </c>
      <c r="K9" s="428"/>
    </row>
    <row r="10" spans="1:15" ht="45" x14ac:dyDescent="0.25">
      <c r="A10" s="14" t="s">
        <v>10</v>
      </c>
      <c r="B10" s="14">
        <v>483</v>
      </c>
      <c r="E10" s="16" t="s">
        <v>65</v>
      </c>
      <c r="F10" s="41">
        <v>400216</v>
      </c>
      <c r="G10" s="20">
        <v>26764</v>
      </c>
      <c r="H10" s="20">
        <v>351654</v>
      </c>
      <c r="I10" s="21">
        <v>873</v>
      </c>
      <c r="J10" s="20">
        <v>11010</v>
      </c>
      <c r="K10" s="20">
        <v>21798</v>
      </c>
    </row>
    <row r="11" spans="1:15" ht="44.25" customHeight="1" x14ac:dyDescent="0.25">
      <c r="A11" s="14" t="s">
        <v>1</v>
      </c>
      <c r="B11" s="14">
        <v>919</v>
      </c>
      <c r="E11" s="19" t="s">
        <v>7</v>
      </c>
      <c r="F11" s="41">
        <v>16345</v>
      </c>
      <c r="G11" s="21">
        <v>74</v>
      </c>
      <c r="H11" s="20">
        <v>16080</v>
      </c>
      <c r="I11" s="21">
        <v>26</v>
      </c>
      <c r="J11" s="21">
        <v>328</v>
      </c>
      <c r="K11" s="21">
        <v>191</v>
      </c>
    </row>
    <row r="12" spans="1:15" ht="60" x14ac:dyDescent="0.25">
      <c r="A12" s="14" t="s">
        <v>11</v>
      </c>
      <c r="B12" s="14">
        <v>14050</v>
      </c>
      <c r="E12" s="19" t="s">
        <v>8</v>
      </c>
      <c r="F12" s="41">
        <v>3435</v>
      </c>
      <c r="G12" s="21" t="s">
        <v>66</v>
      </c>
      <c r="H12" s="20">
        <v>3122</v>
      </c>
      <c r="I12" s="21">
        <v>17</v>
      </c>
      <c r="J12" s="21">
        <v>245</v>
      </c>
      <c r="K12" s="21">
        <v>313</v>
      </c>
    </row>
    <row r="13" spans="1:15" ht="45" x14ac:dyDescent="0.25">
      <c r="A13" s="14" t="s">
        <v>12</v>
      </c>
      <c r="B13" s="14">
        <v>32146</v>
      </c>
      <c r="E13" s="19" t="s">
        <v>9</v>
      </c>
      <c r="F13" s="41">
        <v>22527</v>
      </c>
      <c r="G13" s="21">
        <v>27</v>
      </c>
      <c r="H13" s="20">
        <v>21157</v>
      </c>
      <c r="I13" s="21">
        <v>31</v>
      </c>
      <c r="J13" s="20">
        <v>1375</v>
      </c>
      <c r="K13" s="20">
        <v>1343</v>
      </c>
    </row>
    <row r="14" spans="1:15" ht="60" x14ac:dyDescent="0.25">
      <c r="A14" s="14" t="s">
        <v>13</v>
      </c>
      <c r="B14" s="14">
        <v>5398</v>
      </c>
      <c r="E14" s="19" t="s">
        <v>10</v>
      </c>
      <c r="F14" s="41">
        <v>1330</v>
      </c>
      <c r="G14" s="21">
        <v>102</v>
      </c>
      <c r="H14" s="20">
        <v>1168</v>
      </c>
      <c r="I14" s="21">
        <v>31</v>
      </c>
      <c r="J14" s="21">
        <v>70</v>
      </c>
      <c r="K14" s="21">
        <v>60</v>
      </c>
    </row>
    <row r="15" spans="1:15" ht="90" x14ac:dyDescent="0.25">
      <c r="A15" s="14" t="s">
        <v>14</v>
      </c>
      <c r="B15" s="14">
        <v>2064</v>
      </c>
      <c r="E15" s="19" t="s">
        <v>1</v>
      </c>
      <c r="F15" s="41">
        <v>2441</v>
      </c>
      <c r="G15" s="21">
        <v>244</v>
      </c>
      <c r="H15" s="20">
        <v>2120</v>
      </c>
      <c r="I15" s="21">
        <v>79</v>
      </c>
      <c r="J15" s="21">
        <v>78</v>
      </c>
      <c r="K15" s="21">
        <v>77</v>
      </c>
    </row>
    <row r="16" spans="1:15" x14ac:dyDescent="0.25">
      <c r="A16" s="14" t="s">
        <v>15</v>
      </c>
      <c r="B16" s="14">
        <v>3379</v>
      </c>
      <c r="E16" s="19" t="s">
        <v>11</v>
      </c>
      <c r="F16" s="41">
        <v>55613</v>
      </c>
      <c r="G16" s="21">
        <v>43</v>
      </c>
      <c r="H16" s="20">
        <v>52986</v>
      </c>
      <c r="I16" s="21">
        <v>60</v>
      </c>
      <c r="J16" s="20">
        <v>1233</v>
      </c>
      <c r="K16" s="20">
        <v>2584</v>
      </c>
    </row>
    <row r="17" spans="1:11" ht="60" x14ac:dyDescent="0.25">
      <c r="A17" s="14" t="s">
        <v>16</v>
      </c>
      <c r="B17" s="14">
        <v>3753</v>
      </c>
      <c r="E17" s="19" t="s">
        <v>12</v>
      </c>
      <c r="F17" s="41">
        <v>117486</v>
      </c>
      <c r="G17" s="21">
        <v>40</v>
      </c>
      <c r="H17" s="20">
        <v>106253</v>
      </c>
      <c r="I17" s="21">
        <v>26</v>
      </c>
      <c r="J17" s="20">
        <v>3974</v>
      </c>
      <c r="K17" s="20">
        <v>11193</v>
      </c>
    </row>
    <row r="18" spans="1:11" ht="30" x14ac:dyDescent="0.25">
      <c r="A18" s="14" t="s">
        <v>17</v>
      </c>
      <c r="B18" s="14">
        <v>8511</v>
      </c>
      <c r="E18" s="19" t="s">
        <v>13</v>
      </c>
      <c r="F18" s="41">
        <v>15210</v>
      </c>
      <c r="G18" s="21">
        <v>51</v>
      </c>
      <c r="H18" s="20">
        <v>14259</v>
      </c>
      <c r="I18" s="21">
        <v>44</v>
      </c>
      <c r="J18" s="21">
        <v>424</v>
      </c>
      <c r="K18" s="21">
        <v>900</v>
      </c>
    </row>
    <row r="19" spans="1:11" ht="48.75" customHeight="1" x14ac:dyDescent="0.25">
      <c r="A19" s="14" t="s">
        <v>18</v>
      </c>
      <c r="B19" s="14">
        <v>10105</v>
      </c>
      <c r="E19" s="19" t="s">
        <v>14</v>
      </c>
      <c r="F19" s="41">
        <v>5537</v>
      </c>
      <c r="G19" s="21">
        <v>26</v>
      </c>
      <c r="H19" s="20">
        <v>5101</v>
      </c>
      <c r="I19" s="21">
        <v>11</v>
      </c>
      <c r="J19" s="21">
        <v>212</v>
      </c>
      <c r="K19" s="21">
        <v>410</v>
      </c>
    </row>
    <row r="20" spans="1:11" ht="45" x14ac:dyDescent="0.25">
      <c r="A20" s="14" t="s">
        <v>19</v>
      </c>
      <c r="B20" s="14">
        <v>6582</v>
      </c>
      <c r="E20" s="19" t="s">
        <v>15</v>
      </c>
      <c r="F20" s="41">
        <v>9867</v>
      </c>
      <c r="G20" s="21">
        <v>103</v>
      </c>
      <c r="H20" s="20">
        <v>9357</v>
      </c>
      <c r="I20" s="21">
        <v>135</v>
      </c>
      <c r="J20" s="21">
        <v>348</v>
      </c>
      <c r="K20" s="21">
        <v>407</v>
      </c>
    </row>
    <row r="21" spans="1:11" ht="45" x14ac:dyDescent="0.25">
      <c r="A21" s="14" t="s">
        <v>20</v>
      </c>
      <c r="B21" s="14">
        <v>9263</v>
      </c>
      <c r="E21" s="19" t="s">
        <v>16</v>
      </c>
      <c r="F21" s="41">
        <v>9780</v>
      </c>
      <c r="G21" s="21">
        <v>11</v>
      </c>
      <c r="H21" s="20">
        <v>9475</v>
      </c>
      <c r="I21" s="21">
        <v>46</v>
      </c>
      <c r="J21" s="21">
        <v>183</v>
      </c>
      <c r="K21" s="21">
        <v>294</v>
      </c>
    </row>
    <row r="22" spans="1:11" ht="45" x14ac:dyDescent="0.25">
      <c r="A22" s="14" t="s">
        <v>21</v>
      </c>
      <c r="B22" s="14">
        <v>16418</v>
      </c>
      <c r="E22" s="19" t="s">
        <v>17</v>
      </c>
      <c r="F22" s="41">
        <v>17297</v>
      </c>
      <c r="G22" s="21">
        <v>50</v>
      </c>
      <c r="H22" s="20">
        <v>16705</v>
      </c>
      <c r="I22" s="21">
        <v>51</v>
      </c>
      <c r="J22" s="21">
        <v>296</v>
      </c>
      <c r="K22" s="21">
        <v>542</v>
      </c>
    </row>
    <row r="23" spans="1:11" ht="60" x14ac:dyDescent="0.25">
      <c r="A23" s="14" t="s">
        <v>22</v>
      </c>
      <c r="B23" s="14">
        <v>3695</v>
      </c>
      <c r="E23" s="19" t="s">
        <v>18</v>
      </c>
      <c r="F23" s="41">
        <v>28587</v>
      </c>
      <c r="G23" s="21">
        <v>632</v>
      </c>
      <c r="H23" s="20">
        <v>26504</v>
      </c>
      <c r="I23" s="21">
        <v>143</v>
      </c>
      <c r="J23" s="20">
        <v>1023</v>
      </c>
      <c r="K23" s="20">
        <v>1451</v>
      </c>
    </row>
    <row r="24" spans="1:11" ht="75" x14ac:dyDescent="0.25">
      <c r="A24" s="14" t="s">
        <v>23</v>
      </c>
      <c r="B24" s="14">
        <v>2627</v>
      </c>
      <c r="E24" s="19" t="s">
        <v>19</v>
      </c>
      <c r="F24" s="41">
        <v>16338</v>
      </c>
      <c r="G24" s="21">
        <v>110</v>
      </c>
      <c r="H24" s="20">
        <v>15666</v>
      </c>
      <c r="I24" s="21">
        <v>58</v>
      </c>
      <c r="J24" s="21">
        <v>300</v>
      </c>
      <c r="K24" s="21">
        <v>562</v>
      </c>
    </row>
    <row r="25" spans="1:11" ht="90" x14ac:dyDescent="0.25">
      <c r="A25" s="14" t="s">
        <v>24</v>
      </c>
      <c r="B25" s="14">
        <v>9431</v>
      </c>
      <c r="E25" s="19" t="s">
        <v>20</v>
      </c>
      <c r="F25" s="41">
        <v>9824</v>
      </c>
      <c r="G25" s="20">
        <v>9771</v>
      </c>
      <c r="H25" s="21">
        <v>53</v>
      </c>
      <c r="I25" s="21">
        <v>4</v>
      </c>
      <c r="J25" s="21" t="s">
        <v>66</v>
      </c>
      <c r="K25" s="21" t="s">
        <v>66</v>
      </c>
    </row>
    <row r="26" spans="1:11" x14ac:dyDescent="0.25">
      <c r="E26" s="19" t="s">
        <v>21</v>
      </c>
      <c r="F26" s="41">
        <v>21526</v>
      </c>
      <c r="G26" s="20">
        <v>12325</v>
      </c>
      <c r="H26" s="20">
        <v>9005</v>
      </c>
      <c r="I26" s="21">
        <v>31</v>
      </c>
      <c r="J26" s="21">
        <v>104</v>
      </c>
      <c r="K26" s="21">
        <v>196</v>
      </c>
    </row>
    <row r="27" spans="1:11" ht="30" x14ac:dyDescent="0.25">
      <c r="E27" s="19" t="s">
        <v>22</v>
      </c>
      <c r="F27" s="41">
        <v>6459</v>
      </c>
      <c r="G27" s="20">
        <v>1502</v>
      </c>
      <c r="H27" s="20">
        <v>4820</v>
      </c>
      <c r="I27" s="21">
        <v>19</v>
      </c>
      <c r="J27" s="21">
        <v>99</v>
      </c>
      <c r="K27" s="21">
        <v>137</v>
      </c>
    </row>
    <row r="28" spans="1:11" ht="45" x14ac:dyDescent="0.25">
      <c r="E28" s="19" t="s">
        <v>23</v>
      </c>
      <c r="F28" s="41">
        <v>5930</v>
      </c>
      <c r="G28" s="20">
        <v>1627</v>
      </c>
      <c r="H28" s="20">
        <v>4153</v>
      </c>
      <c r="I28" s="21">
        <v>37</v>
      </c>
      <c r="J28" s="21">
        <v>124</v>
      </c>
      <c r="K28" s="21">
        <v>150</v>
      </c>
    </row>
    <row r="29" spans="1:11" ht="30" x14ac:dyDescent="0.25">
      <c r="E29" s="19" t="s">
        <v>24</v>
      </c>
      <c r="F29" s="41">
        <v>34683</v>
      </c>
      <c r="G29" s="21">
        <v>26</v>
      </c>
      <c r="H29" s="20">
        <v>33670</v>
      </c>
      <c r="I29" s="21">
        <v>24</v>
      </c>
      <c r="J29" s="21">
        <v>594</v>
      </c>
      <c r="K29" s="21">
        <v>987</v>
      </c>
    </row>
    <row r="30" spans="1:11" ht="120" x14ac:dyDescent="0.25">
      <c r="E30" s="19" t="s">
        <v>67</v>
      </c>
      <c r="F30" s="35" t="s">
        <v>66</v>
      </c>
      <c r="G30" s="21" t="s">
        <v>66</v>
      </c>
      <c r="H30" s="21" t="s">
        <v>66</v>
      </c>
      <c r="I30" s="21" t="s">
        <v>66</v>
      </c>
      <c r="J30" s="21" t="s">
        <v>66</v>
      </c>
      <c r="K30" s="21" t="s">
        <v>66</v>
      </c>
    </row>
    <row r="31" spans="1:11" ht="60" x14ac:dyDescent="0.25">
      <c r="E31" s="19" t="s">
        <v>68</v>
      </c>
      <c r="F31" s="35">
        <v>1</v>
      </c>
      <c r="G31" s="21" t="s">
        <v>66</v>
      </c>
      <c r="H31" s="21" t="s">
        <v>66</v>
      </c>
      <c r="I31" s="21" t="s">
        <v>66</v>
      </c>
      <c r="J31" s="21" t="s">
        <v>66</v>
      </c>
      <c r="K31" s="21">
        <v>1</v>
      </c>
    </row>
    <row r="33" spans="1:4" x14ac:dyDescent="0.25">
      <c r="A33" s="12" t="s">
        <v>83</v>
      </c>
    </row>
    <row r="34" spans="1:4" s="22" customFormat="1" x14ac:dyDescent="0.25">
      <c r="A34" s="428" t="s">
        <v>85</v>
      </c>
      <c r="B34" s="428" t="s">
        <v>70</v>
      </c>
      <c r="C34" s="428"/>
    </row>
    <row r="35" spans="1:4" s="22" customFormat="1" ht="45" x14ac:dyDescent="0.25">
      <c r="A35" s="428"/>
      <c r="B35" s="35" t="s">
        <v>71</v>
      </c>
      <c r="C35" s="35" t="s">
        <v>72</v>
      </c>
    </row>
    <row r="36" spans="1:4" s="22" customFormat="1" x14ac:dyDescent="0.25">
      <c r="A36" s="19" t="s">
        <v>55</v>
      </c>
      <c r="B36" s="35" t="s">
        <v>73</v>
      </c>
      <c r="C36" s="35">
        <v>107.6</v>
      </c>
    </row>
    <row r="37" spans="1:4" s="22" customFormat="1" x14ac:dyDescent="0.25">
      <c r="A37" s="19" t="s">
        <v>74</v>
      </c>
      <c r="B37" s="35"/>
      <c r="C37" s="35"/>
    </row>
    <row r="38" spans="1:4" s="22" customFormat="1" x14ac:dyDescent="0.25">
      <c r="A38" s="19" t="s">
        <v>75</v>
      </c>
      <c r="B38" s="35" t="s">
        <v>76</v>
      </c>
      <c r="C38" s="35">
        <v>111.3</v>
      </c>
    </row>
    <row r="39" spans="1:4" s="22" customFormat="1" ht="17.25" x14ac:dyDescent="0.25">
      <c r="A39" s="19" t="s">
        <v>84</v>
      </c>
      <c r="B39" s="35" t="s">
        <v>77</v>
      </c>
      <c r="C39" s="35">
        <v>100.7</v>
      </c>
    </row>
    <row r="40" spans="1:4" s="22" customFormat="1" x14ac:dyDescent="0.25">
      <c r="A40" s="19" t="s">
        <v>78</v>
      </c>
      <c r="B40" s="35" t="s">
        <v>79</v>
      </c>
      <c r="C40" s="35">
        <v>109.3</v>
      </c>
    </row>
    <row r="41" spans="1:4" s="22" customFormat="1" x14ac:dyDescent="0.25">
      <c r="A41" s="19" t="s">
        <v>80</v>
      </c>
      <c r="B41" s="35">
        <v>881.3</v>
      </c>
      <c r="C41" s="35">
        <v>94</v>
      </c>
    </row>
    <row r="42" spans="1:4" s="22" customFormat="1" x14ac:dyDescent="0.25">
      <c r="A42" s="19" t="s">
        <v>81</v>
      </c>
      <c r="B42" s="35">
        <v>27.6</v>
      </c>
      <c r="C42" s="35">
        <v>130.1</v>
      </c>
    </row>
    <row r="43" spans="1:4" s="22" customFormat="1" x14ac:dyDescent="0.25">
      <c r="A43" s="19" t="s">
        <v>82</v>
      </c>
      <c r="B43" s="35">
        <v>10.8</v>
      </c>
      <c r="C43" s="35">
        <v>118.3</v>
      </c>
    </row>
    <row r="44" spans="1:4" s="22" customFormat="1" x14ac:dyDescent="0.25">
      <c r="A44" s="23"/>
      <c r="B44" s="24"/>
      <c r="C44" s="24"/>
    </row>
    <row r="45" spans="1:4" x14ac:dyDescent="0.25">
      <c r="A45" s="12" t="s">
        <v>90</v>
      </c>
    </row>
    <row r="46" spans="1:4" ht="30" x14ac:dyDescent="0.25">
      <c r="A46" s="428" t="s">
        <v>207</v>
      </c>
      <c r="B46" s="35" t="s">
        <v>86</v>
      </c>
      <c r="C46" s="428" t="s">
        <v>88</v>
      </c>
      <c r="D46" s="25" t="s">
        <v>97</v>
      </c>
    </row>
    <row r="47" spans="1:4" ht="60" x14ac:dyDescent="0.25">
      <c r="A47" s="428"/>
      <c r="B47" s="35" t="s">
        <v>87</v>
      </c>
      <c r="C47" s="428"/>
      <c r="D47" s="35" t="s">
        <v>89</v>
      </c>
    </row>
    <row r="48" spans="1:4" x14ac:dyDescent="0.25">
      <c r="A48" s="19" t="s">
        <v>90</v>
      </c>
      <c r="B48" s="36">
        <v>36719.699999999997</v>
      </c>
      <c r="C48" s="37">
        <v>130.5</v>
      </c>
      <c r="D48" s="37">
        <v>69.8</v>
      </c>
    </row>
    <row r="49" spans="1:4" x14ac:dyDescent="0.25">
      <c r="A49" s="19" t="s">
        <v>91</v>
      </c>
      <c r="B49" s="36">
        <v>23167</v>
      </c>
      <c r="C49" s="37">
        <v>138.30000000000001</v>
      </c>
      <c r="D49" s="37">
        <v>68.099999999999994</v>
      </c>
    </row>
    <row r="50" spans="1:4" x14ac:dyDescent="0.25">
      <c r="A50" s="19" t="s">
        <v>92</v>
      </c>
      <c r="B50" s="36">
        <v>3826.5</v>
      </c>
      <c r="C50" s="37">
        <v>136.4</v>
      </c>
      <c r="D50" s="37">
        <v>69.599999999999994</v>
      </c>
    </row>
    <row r="51" spans="1:4" x14ac:dyDescent="0.25">
      <c r="A51" s="26" t="s">
        <v>93</v>
      </c>
      <c r="B51" s="432">
        <v>2470.1999999999998</v>
      </c>
      <c r="C51" s="433">
        <v>138.30000000000001</v>
      </c>
      <c r="D51" s="433">
        <v>64.900000000000006</v>
      </c>
    </row>
    <row r="52" spans="1:4" x14ac:dyDescent="0.25">
      <c r="A52" s="26" t="s">
        <v>94</v>
      </c>
      <c r="B52" s="432"/>
      <c r="C52" s="433"/>
      <c r="D52" s="433"/>
    </row>
    <row r="53" spans="1:4" x14ac:dyDescent="0.25">
      <c r="A53" s="26" t="s">
        <v>95</v>
      </c>
      <c r="B53" s="36">
        <v>19340.5</v>
      </c>
      <c r="C53" s="37">
        <v>138.69999999999999</v>
      </c>
      <c r="D53" s="37">
        <v>67.900000000000006</v>
      </c>
    </row>
    <row r="54" spans="1:4" x14ac:dyDescent="0.25">
      <c r="A54" s="19" t="s">
        <v>96</v>
      </c>
      <c r="B54" s="36">
        <v>13552.7</v>
      </c>
      <c r="C54" s="37">
        <v>119</v>
      </c>
      <c r="D54" s="37">
        <v>72.5</v>
      </c>
    </row>
    <row r="55" spans="1:4" x14ac:dyDescent="0.25">
      <c r="A55" s="19" t="s">
        <v>92</v>
      </c>
      <c r="B55" s="36">
        <v>6357.2</v>
      </c>
      <c r="C55" s="37">
        <v>133</v>
      </c>
      <c r="D55" s="37">
        <v>71.099999999999994</v>
      </c>
    </row>
    <row r="56" spans="1:4" x14ac:dyDescent="0.25">
      <c r="A56" s="27" t="s">
        <v>93</v>
      </c>
      <c r="B56" s="432">
        <v>5542.4</v>
      </c>
      <c r="C56" s="433">
        <v>133.5</v>
      </c>
      <c r="D56" s="433">
        <v>72.599999999999994</v>
      </c>
    </row>
    <row r="57" spans="1:4" x14ac:dyDescent="0.25">
      <c r="A57" s="27" t="s">
        <v>94</v>
      </c>
      <c r="B57" s="432"/>
      <c r="C57" s="433"/>
      <c r="D57" s="433"/>
    </row>
    <row r="58" spans="1:4" x14ac:dyDescent="0.25">
      <c r="A58" s="27" t="s">
        <v>95</v>
      </c>
      <c r="B58" s="36">
        <v>7195.5</v>
      </c>
      <c r="C58" s="37">
        <v>108.9</v>
      </c>
      <c r="D58" s="37">
        <v>73.400000000000006</v>
      </c>
    </row>
    <row r="60" spans="1:4" x14ac:dyDescent="0.25">
      <c r="A60" s="434" t="s">
        <v>98</v>
      </c>
      <c r="B60" s="434"/>
      <c r="C60" s="434"/>
      <c r="D60" s="434"/>
    </row>
    <row r="61" spans="1:4" x14ac:dyDescent="0.25">
      <c r="A61" s="15" t="s">
        <v>45</v>
      </c>
    </row>
    <row r="78" spans="1:5" s="22" customFormat="1" x14ac:dyDescent="0.25">
      <c r="A78" s="431" t="s">
        <v>99</v>
      </c>
      <c r="B78" s="431"/>
      <c r="C78" s="431"/>
      <c r="D78" s="431"/>
      <c r="E78" s="431"/>
    </row>
    <row r="79" spans="1:5" s="22" customFormat="1" x14ac:dyDescent="0.25">
      <c r="A79" s="435" t="s">
        <v>100</v>
      </c>
      <c r="B79" s="436" t="s">
        <v>101</v>
      </c>
      <c r="C79" s="436"/>
      <c r="D79" s="436" t="s">
        <v>102</v>
      </c>
      <c r="E79" s="436"/>
    </row>
    <row r="80" spans="1:5" s="22" customFormat="1" x14ac:dyDescent="0.25">
      <c r="A80" s="435"/>
      <c r="B80" s="38" t="s">
        <v>103</v>
      </c>
      <c r="C80" s="38" t="s">
        <v>104</v>
      </c>
      <c r="D80" s="38" t="s">
        <v>103</v>
      </c>
      <c r="E80" s="38" t="s">
        <v>105</v>
      </c>
    </row>
    <row r="81" spans="1:5" s="22" customFormat="1" x14ac:dyDescent="0.25">
      <c r="A81" s="29" t="s">
        <v>106</v>
      </c>
      <c r="B81" s="18" t="s">
        <v>107</v>
      </c>
      <c r="C81" s="30">
        <v>13552.7</v>
      </c>
      <c r="D81" s="18">
        <v>100</v>
      </c>
      <c r="E81" s="18">
        <v>100</v>
      </c>
    </row>
    <row r="82" spans="1:5" s="22" customFormat="1" x14ac:dyDescent="0.25">
      <c r="A82" s="29" t="s">
        <v>108</v>
      </c>
      <c r="B82" s="18"/>
      <c r="C82" s="18"/>
      <c r="D82" s="18"/>
      <c r="E82" s="18"/>
    </row>
    <row r="83" spans="1:5" s="22" customFormat="1" x14ac:dyDescent="0.25">
      <c r="A83" s="29" t="s">
        <v>109</v>
      </c>
      <c r="B83" s="18">
        <v>2.1</v>
      </c>
      <c r="C83" s="18">
        <v>72.2</v>
      </c>
      <c r="D83" s="18">
        <v>0</v>
      </c>
      <c r="E83" s="18">
        <v>0.5</v>
      </c>
    </row>
    <row r="84" spans="1:5" s="22" customFormat="1" x14ac:dyDescent="0.25">
      <c r="A84" s="29" t="s">
        <v>110</v>
      </c>
      <c r="B84" s="18">
        <v>0.4</v>
      </c>
      <c r="C84" s="18">
        <v>1.7</v>
      </c>
      <c r="D84" s="18">
        <v>0</v>
      </c>
      <c r="E84" s="18">
        <v>0</v>
      </c>
    </row>
    <row r="85" spans="1:5" s="22" customFormat="1" x14ac:dyDescent="0.25">
      <c r="A85" s="29" t="s">
        <v>111</v>
      </c>
      <c r="B85" s="18">
        <v>49</v>
      </c>
      <c r="C85" s="18">
        <v>209</v>
      </c>
      <c r="D85" s="18">
        <v>0.2</v>
      </c>
      <c r="E85" s="18">
        <v>1.5</v>
      </c>
    </row>
    <row r="86" spans="1:5" s="22" customFormat="1" x14ac:dyDescent="0.25">
      <c r="A86" s="29" t="s">
        <v>112</v>
      </c>
      <c r="B86" s="18">
        <v>220.7</v>
      </c>
      <c r="C86" s="18">
        <v>706.2</v>
      </c>
      <c r="D86" s="18">
        <v>1</v>
      </c>
      <c r="E86" s="18">
        <v>5.2</v>
      </c>
    </row>
    <row r="87" spans="1:5" s="22" customFormat="1" x14ac:dyDescent="0.25">
      <c r="A87" s="29" t="s">
        <v>113</v>
      </c>
      <c r="B87" s="18">
        <v>570.79999999999995</v>
      </c>
      <c r="C87" s="18">
        <v>8.6999999999999993</v>
      </c>
      <c r="D87" s="18">
        <v>2.5</v>
      </c>
      <c r="E87" s="18">
        <v>0.1</v>
      </c>
    </row>
    <row r="88" spans="1:5" s="22" customFormat="1" x14ac:dyDescent="0.25">
      <c r="A88" s="29" t="s">
        <v>114</v>
      </c>
      <c r="B88" s="18">
        <v>198.8</v>
      </c>
      <c r="C88" s="18">
        <v>30.7</v>
      </c>
      <c r="D88" s="18">
        <v>0.9</v>
      </c>
      <c r="E88" s="18">
        <v>0.2</v>
      </c>
    </row>
    <row r="89" spans="1:5" s="22" customFormat="1" x14ac:dyDescent="0.25">
      <c r="A89" s="29" t="s">
        <v>115</v>
      </c>
      <c r="B89" s="18">
        <v>609.70000000000005</v>
      </c>
      <c r="C89" s="18">
        <v>94.2</v>
      </c>
      <c r="D89" s="18">
        <v>2.6</v>
      </c>
      <c r="E89" s="18">
        <v>0.7</v>
      </c>
    </row>
    <row r="90" spans="1:5" s="22" customFormat="1" x14ac:dyDescent="0.25">
      <c r="A90" s="29" t="s">
        <v>116</v>
      </c>
      <c r="B90" s="30">
        <v>4336.3</v>
      </c>
      <c r="C90" s="18">
        <v>462.1</v>
      </c>
      <c r="D90" s="18">
        <v>18.7</v>
      </c>
      <c r="E90" s="18">
        <v>3.4</v>
      </c>
    </row>
    <row r="91" spans="1:5" s="22" customFormat="1" x14ac:dyDescent="0.25">
      <c r="A91" s="29" t="s">
        <v>117</v>
      </c>
      <c r="B91" s="30">
        <v>2769.3</v>
      </c>
      <c r="C91" s="30">
        <v>2112.6</v>
      </c>
      <c r="D91" s="18">
        <v>12</v>
      </c>
      <c r="E91" s="18">
        <v>15.6</v>
      </c>
    </row>
    <row r="92" spans="1:5" s="22" customFormat="1" x14ac:dyDescent="0.25">
      <c r="A92" s="29" t="s">
        <v>118</v>
      </c>
      <c r="B92" s="18">
        <v>225.1</v>
      </c>
      <c r="C92" s="18">
        <v>116.5</v>
      </c>
      <c r="D92" s="18">
        <v>1</v>
      </c>
      <c r="E92" s="18">
        <v>0.9</v>
      </c>
    </row>
    <row r="93" spans="1:5" s="22" customFormat="1" x14ac:dyDescent="0.25">
      <c r="A93" s="29" t="s">
        <v>119</v>
      </c>
      <c r="B93" s="30">
        <v>2400.6</v>
      </c>
      <c r="C93" s="18">
        <v>126.2</v>
      </c>
      <c r="D93" s="18">
        <v>10.4</v>
      </c>
      <c r="E93" s="18">
        <v>0.9</v>
      </c>
    </row>
    <row r="94" spans="1:5" s="22" customFormat="1" x14ac:dyDescent="0.25">
      <c r="A94" s="29" t="s">
        <v>120</v>
      </c>
      <c r="B94" s="18">
        <v>171.8</v>
      </c>
      <c r="C94" s="18">
        <v>142.69999999999999</v>
      </c>
      <c r="D94" s="18">
        <v>0.7</v>
      </c>
      <c r="E94" s="18">
        <v>1.1000000000000001</v>
      </c>
    </row>
    <row r="95" spans="1:5" s="22" customFormat="1" x14ac:dyDescent="0.25">
      <c r="A95" s="29" t="s">
        <v>121</v>
      </c>
      <c r="B95" s="18">
        <v>244.4</v>
      </c>
      <c r="C95" s="18">
        <v>236.2</v>
      </c>
      <c r="D95" s="18">
        <v>1.1000000000000001</v>
      </c>
      <c r="E95" s="18">
        <v>1.7</v>
      </c>
    </row>
    <row r="96" spans="1:5" s="22" customFormat="1" x14ac:dyDescent="0.25">
      <c r="A96" s="29" t="s">
        <v>122</v>
      </c>
      <c r="B96" s="30">
        <v>2195.6</v>
      </c>
      <c r="C96" s="30">
        <v>5215.1000000000004</v>
      </c>
      <c r="D96" s="18">
        <v>9.5</v>
      </c>
      <c r="E96" s="18">
        <v>38.5</v>
      </c>
    </row>
    <row r="97" spans="1:8" s="22" customFormat="1" x14ac:dyDescent="0.25">
      <c r="A97" s="29" t="s">
        <v>123</v>
      </c>
      <c r="B97" s="18">
        <v>301.89999999999998</v>
      </c>
      <c r="C97" s="18">
        <v>679.1</v>
      </c>
      <c r="D97" s="18">
        <v>1.3</v>
      </c>
      <c r="E97" s="18">
        <v>5</v>
      </c>
    </row>
    <row r="98" spans="1:8" s="22" customFormat="1" x14ac:dyDescent="0.25">
      <c r="A98" s="29" t="s">
        <v>124</v>
      </c>
      <c r="B98" s="18">
        <v>563.20000000000005</v>
      </c>
      <c r="C98" s="18">
        <v>361.7</v>
      </c>
      <c r="D98" s="18">
        <v>2.4</v>
      </c>
      <c r="E98" s="18">
        <v>2.7</v>
      </c>
    </row>
    <row r="99" spans="1:8" s="22" customFormat="1" x14ac:dyDescent="0.25">
      <c r="A99" s="29" t="s">
        <v>125</v>
      </c>
      <c r="B99" s="18">
        <v>580.79999999999995</v>
      </c>
      <c r="C99" s="18">
        <v>340.1</v>
      </c>
      <c r="D99" s="18">
        <v>2.5</v>
      </c>
      <c r="E99" s="18">
        <v>2.5</v>
      </c>
    </row>
    <row r="100" spans="1:8" s="22" customFormat="1" x14ac:dyDescent="0.25">
      <c r="A100" s="29" t="s">
        <v>126</v>
      </c>
      <c r="B100" s="18">
        <v>486.8</v>
      </c>
      <c r="C100" s="18">
        <v>253.9</v>
      </c>
      <c r="D100" s="18">
        <v>2.1</v>
      </c>
      <c r="E100" s="18">
        <v>1.9</v>
      </c>
    </row>
    <row r="101" spans="1:8" s="22" customFormat="1" x14ac:dyDescent="0.25">
      <c r="A101" s="29" t="s">
        <v>127</v>
      </c>
      <c r="B101" s="30">
        <v>1467.7</v>
      </c>
      <c r="C101" s="18">
        <v>260.7</v>
      </c>
      <c r="D101" s="18">
        <v>6.3</v>
      </c>
      <c r="E101" s="18">
        <v>1.9</v>
      </c>
    </row>
    <row r="102" spans="1:8" s="22" customFormat="1" x14ac:dyDescent="0.25">
      <c r="A102" s="29" t="s">
        <v>128</v>
      </c>
      <c r="B102" s="30">
        <v>1148.8</v>
      </c>
      <c r="C102" s="18">
        <v>59.9</v>
      </c>
      <c r="D102" s="18">
        <v>6.3</v>
      </c>
      <c r="E102" s="18">
        <v>0.4</v>
      </c>
    </row>
    <row r="103" spans="1:8" s="22" customFormat="1" x14ac:dyDescent="0.25">
      <c r="A103" s="29" t="s">
        <v>129</v>
      </c>
      <c r="B103" s="18">
        <v>454.6</v>
      </c>
      <c r="C103" s="18">
        <v>168</v>
      </c>
      <c r="D103" s="18">
        <v>2</v>
      </c>
      <c r="E103" s="18">
        <v>1.2</v>
      </c>
    </row>
    <row r="105" spans="1:8" x14ac:dyDescent="0.25">
      <c r="A105" s="31" t="s">
        <v>130</v>
      </c>
      <c r="B105" s="32"/>
      <c r="C105" s="32"/>
      <c r="D105" s="32"/>
      <c r="E105" s="32"/>
      <c r="F105" s="32"/>
      <c r="G105" s="32"/>
      <c r="H105" s="32"/>
    </row>
    <row r="106" spans="1:8" s="22" customFormat="1" x14ac:dyDescent="0.25">
      <c r="A106" s="428"/>
      <c r="B106" s="428" t="s">
        <v>131</v>
      </c>
      <c r="C106" s="428"/>
      <c r="D106" s="428" t="s">
        <v>132</v>
      </c>
      <c r="E106" s="428"/>
      <c r="F106" s="428"/>
      <c r="G106" s="428"/>
      <c r="H106" s="428"/>
    </row>
    <row r="107" spans="1:8" s="22" customFormat="1" x14ac:dyDescent="0.25">
      <c r="A107" s="428"/>
      <c r="B107" s="428"/>
      <c r="C107" s="428"/>
      <c r="D107" s="428" t="s">
        <v>133</v>
      </c>
      <c r="E107" s="428"/>
      <c r="F107" s="428" t="s">
        <v>134</v>
      </c>
      <c r="G107" s="428"/>
      <c r="H107" s="428"/>
    </row>
    <row r="108" spans="1:8" s="22" customFormat="1" ht="75" x14ac:dyDescent="0.25">
      <c r="A108" s="428"/>
      <c r="B108" s="35" t="s">
        <v>135</v>
      </c>
      <c r="C108" s="35" t="s">
        <v>136</v>
      </c>
      <c r="D108" s="35" t="s">
        <v>135</v>
      </c>
      <c r="E108" s="35" t="s">
        <v>136</v>
      </c>
      <c r="F108" s="35" t="s">
        <v>135</v>
      </c>
      <c r="G108" s="35" t="s">
        <v>136</v>
      </c>
      <c r="H108" s="35" t="s">
        <v>137</v>
      </c>
    </row>
    <row r="109" spans="1:8" s="22" customFormat="1" x14ac:dyDescent="0.25">
      <c r="A109" s="430" t="s">
        <v>158</v>
      </c>
      <c r="B109" s="430"/>
      <c r="C109" s="430"/>
      <c r="D109" s="430"/>
      <c r="E109" s="430"/>
      <c r="F109" s="430"/>
      <c r="G109" s="430"/>
      <c r="H109" s="430"/>
    </row>
    <row r="110" spans="1:8" s="22" customFormat="1" x14ac:dyDescent="0.25">
      <c r="A110" s="19" t="s">
        <v>138</v>
      </c>
      <c r="B110" s="36">
        <v>8847.2000000000007</v>
      </c>
      <c r="C110" s="37">
        <v>99</v>
      </c>
      <c r="D110" s="36">
        <v>8396.9</v>
      </c>
      <c r="E110" s="37">
        <v>99</v>
      </c>
      <c r="F110" s="37">
        <v>450.3</v>
      </c>
      <c r="G110" s="37">
        <v>100</v>
      </c>
      <c r="H110" s="37">
        <v>5.0999999999999996</v>
      </c>
    </row>
    <row r="111" spans="1:8" s="22" customFormat="1" x14ac:dyDescent="0.25">
      <c r="A111" s="19" t="s">
        <v>139</v>
      </c>
      <c r="B111" s="36">
        <v>8829.7000000000007</v>
      </c>
      <c r="C111" s="37">
        <v>99.6</v>
      </c>
      <c r="D111" s="36">
        <v>8383.9</v>
      </c>
      <c r="E111" s="37">
        <v>99.6</v>
      </c>
      <c r="F111" s="37">
        <v>445.8</v>
      </c>
      <c r="G111" s="37">
        <v>100</v>
      </c>
      <c r="H111" s="37">
        <v>5.0999999999999996</v>
      </c>
    </row>
    <row r="112" spans="1:8" s="22" customFormat="1" x14ac:dyDescent="0.25">
      <c r="A112" s="19" t="s">
        <v>140</v>
      </c>
      <c r="B112" s="36">
        <v>8829.2999999999993</v>
      </c>
      <c r="C112" s="37">
        <v>99.3</v>
      </c>
      <c r="D112" s="36">
        <v>8384.4</v>
      </c>
      <c r="E112" s="37">
        <v>99.3</v>
      </c>
      <c r="F112" s="37">
        <v>444.9</v>
      </c>
      <c r="G112" s="37">
        <v>99.8</v>
      </c>
      <c r="H112" s="37">
        <v>5</v>
      </c>
    </row>
    <row r="113" spans="1:8" s="22" customFormat="1" x14ac:dyDescent="0.25">
      <c r="A113" s="19" t="s">
        <v>141</v>
      </c>
      <c r="B113" s="36">
        <v>8835.4</v>
      </c>
      <c r="C113" s="37">
        <v>99.3</v>
      </c>
      <c r="D113" s="36">
        <v>8388.4</v>
      </c>
      <c r="E113" s="37">
        <v>99.3</v>
      </c>
      <c r="F113" s="37">
        <v>447</v>
      </c>
      <c r="G113" s="37">
        <v>99.9</v>
      </c>
      <c r="H113" s="37">
        <v>5.0999999999999996</v>
      </c>
    </row>
    <row r="114" spans="1:8" s="22" customFormat="1" x14ac:dyDescent="0.25">
      <c r="A114" s="19" t="s">
        <v>142</v>
      </c>
      <c r="B114" s="36">
        <v>8885.5</v>
      </c>
      <c r="C114" s="37">
        <v>98.5</v>
      </c>
      <c r="D114" s="36">
        <v>8439</v>
      </c>
      <c r="E114" s="37">
        <v>98.4</v>
      </c>
      <c r="F114" s="37">
        <v>446.5</v>
      </c>
      <c r="G114" s="37">
        <v>99.6</v>
      </c>
      <c r="H114" s="37">
        <v>5</v>
      </c>
    </row>
    <row r="115" spans="1:8" s="22" customFormat="1" x14ac:dyDescent="0.25">
      <c r="A115" s="19" t="s">
        <v>143</v>
      </c>
      <c r="B115" s="36">
        <v>8933.2000000000007</v>
      </c>
      <c r="C115" s="37">
        <v>99</v>
      </c>
      <c r="D115" s="36">
        <v>8485.2000000000007</v>
      </c>
      <c r="E115" s="37">
        <v>98.9</v>
      </c>
      <c r="F115" s="37">
        <v>448</v>
      </c>
      <c r="G115" s="37">
        <v>99.9</v>
      </c>
      <c r="H115" s="37">
        <v>5</v>
      </c>
    </row>
    <row r="116" spans="1:8" s="22" customFormat="1" x14ac:dyDescent="0.25">
      <c r="A116" s="19" t="s">
        <v>144</v>
      </c>
      <c r="B116" s="36">
        <v>8978.2000000000007</v>
      </c>
      <c r="C116" s="37">
        <v>99.5</v>
      </c>
      <c r="D116" s="36">
        <v>8530.5</v>
      </c>
      <c r="E116" s="37">
        <v>99.5</v>
      </c>
      <c r="F116" s="37">
        <v>447.7</v>
      </c>
      <c r="G116" s="37">
        <v>99.8</v>
      </c>
      <c r="H116" s="37">
        <v>5</v>
      </c>
    </row>
    <row r="117" spans="1:8" s="22" customFormat="1" x14ac:dyDescent="0.25">
      <c r="A117" s="19" t="s">
        <v>145</v>
      </c>
      <c r="B117" s="36">
        <v>8932.2999999999993</v>
      </c>
      <c r="C117" s="37">
        <v>99</v>
      </c>
      <c r="D117" s="36">
        <v>8484.9</v>
      </c>
      <c r="E117" s="37">
        <v>98.9</v>
      </c>
      <c r="F117" s="37">
        <v>447.4</v>
      </c>
      <c r="G117" s="37">
        <v>99.8</v>
      </c>
      <c r="H117" s="37">
        <v>5</v>
      </c>
    </row>
    <row r="118" spans="1:8" s="22" customFormat="1" x14ac:dyDescent="0.25">
      <c r="A118" s="19" t="s">
        <v>146</v>
      </c>
      <c r="B118" s="36">
        <v>9015.5</v>
      </c>
      <c r="C118" s="37">
        <v>99.3</v>
      </c>
      <c r="D118" s="36">
        <v>8569.6</v>
      </c>
      <c r="E118" s="37">
        <v>99.3</v>
      </c>
      <c r="F118" s="37">
        <v>445.9</v>
      </c>
      <c r="G118" s="37">
        <v>100</v>
      </c>
      <c r="H118" s="37">
        <v>4.9000000000000004</v>
      </c>
    </row>
    <row r="119" spans="1:8" s="22" customFormat="1" x14ac:dyDescent="0.25">
      <c r="A119" s="19" t="s">
        <v>147</v>
      </c>
      <c r="B119" s="36">
        <v>9039.7999999999993</v>
      </c>
      <c r="C119" s="37">
        <v>99.6</v>
      </c>
      <c r="D119" s="36">
        <v>8595.6</v>
      </c>
      <c r="E119" s="37">
        <v>99.5</v>
      </c>
      <c r="F119" s="37">
        <v>444.2</v>
      </c>
      <c r="G119" s="37">
        <v>100.2</v>
      </c>
      <c r="H119" s="37">
        <v>4.9000000000000004</v>
      </c>
    </row>
    <row r="120" spans="1:8" s="22" customFormat="1" x14ac:dyDescent="0.25">
      <c r="A120" s="19" t="s">
        <v>148</v>
      </c>
      <c r="B120" s="36">
        <v>9038.6</v>
      </c>
      <c r="C120" s="37">
        <v>99.6</v>
      </c>
      <c r="D120" s="36">
        <v>8594.6</v>
      </c>
      <c r="E120" s="37">
        <v>99.5</v>
      </c>
      <c r="F120" s="37">
        <v>444</v>
      </c>
      <c r="G120" s="37">
        <v>100.4</v>
      </c>
      <c r="H120" s="37">
        <v>4.9000000000000004</v>
      </c>
    </row>
    <row r="121" spans="1:8" s="22" customFormat="1" x14ac:dyDescent="0.25">
      <c r="A121" s="19" t="s">
        <v>149</v>
      </c>
      <c r="B121" s="36">
        <v>9031.2999999999993</v>
      </c>
      <c r="C121" s="37">
        <v>99.5</v>
      </c>
      <c r="D121" s="36">
        <v>8586.6</v>
      </c>
      <c r="E121" s="37">
        <v>99.4</v>
      </c>
      <c r="F121" s="37">
        <v>444.7</v>
      </c>
      <c r="G121" s="37">
        <v>100.2</v>
      </c>
      <c r="H121" s="37">
        <v>4.9000000000000004</v>
      </c>
    </row>
    <row r="122" spans="1:8" s="22" customFormat="1" x14ac:dyDescent="0.25">
      <c r="A122" s="19" t="s">
        <v>150</v>
      </c>
      <c r="B122" s="36">
        <v>9008.2999999999993</v>
      </c>
      <c r="C122" s="37">
        <v>100.5</v>
      </c>
      <c r="D122" s="36">
        <v>8566.1</v>
      </c>
      <c r="E122" s="37">
        <v>100.6</v>
      </c>
      <c r="F122" s="37">
        <v>442.2</v>
      </c>
      <c r="G122" s="37">
        <v>99</v>
      </c>
      <c r="H122" s="37">
        <v>4.9000000000000004</v>
      </c>
    </row>
    <row r="123" spans="1:8" s="22" customFormat="1" x14ac:dyDescent="0.25">
      <c r="A123" s="19" t="s">
        <v>151</v>
      </c>
      <c r="B123" s="36">
        <v>8960.7000000000007</v>
      </c>
      <c r="C123" s="37">
        <v>100</v>
      </c>
      <c r="D123" s="36">
        <v>8519.5</v>
      </c>
      <c r="E123" s="37">
        <v>100.1</v>
      </c>
      <c r="F123" s="37">
        <v>441.2</v>
      </c>
      <c r="G123" s="37">
        <v>97.8</v>
      </c>
      <c r="H123" s="37">
        <v>4.9000000000000004</v>
      </c>
    </row>
    <row r="124" spans="1:8" s="22" customFormat="1" x14ac:dyDescent="0.25">
      <c r="A124" s="19" t="s">
        <v>152</v>
      </c>
      <c r="B124" s="36">
        <v>8921.7999999999993</v>
      </c>
      <c r="C124" s="37">
        <v>99.5</v>
      </c>
      <c r="D124" s="36">
        <v>8481.2999999999993</v>
      </c>
      <c r="E124" s="37">
        <v>99.6</v>
      </c>
      <c r="F124" s="37">
        <v>440.5</v>
      </c>
      <c r="G124" s="37">
        <v>96.6</v>
      </c>
      <c r="H124" s="37">
        <v>4.9000000000000004</v>
      </c>
    </row>
    <row r="125" spans="1:8" s="22" customFormat="1" x14ac:dyDescent="0.25">
      <c r="A125" s="19" t="s">
        <v>153</v>
      </c>
      <c r="B125" s="36">
        <v>8963.6</v>
      </c>
      <c r="C125" s="37">
        <v>100</v>
      </c>
      <c r="D125" s="36">
        <v>8522.2999999999993</v>
      </c>
      <c r="E125" s="37">
        <v>100.1</v>
      </c>
      <c r="F125" s="37">
        <v>441.3</v>
      </c>
      <c r="G125" s="37">
        <v>97.8</v>
      </c>
      <c r="H125" s="37">
        <v>4.9000000000000004</v>
      </c>
    </row>
    <row r="126" spans="1:8" s="22" customFormat="1" x14ac:dyDescent="0.25">
      <c r="A126" s="19" t="s">
        <v>154</v>
      </c>
      <c r="B126" s="36">
        <v>8998.7999999999993</v>
      </c>
      <c r="C126" s="37">
        <v>99.2</v>
      </c>
      <c r="D126" s="36">
        <v>8553.2999999999993</v>
      </c>
      <c r="E126" s="37">
        <v>99.2</v>
      </c>
      <c r="F126" s="37">
        <v>445.5</v>
      </c>
      <c r="G126" s="37">
        <v>98.8</v>
      </c>
      <c r="H126" s="37">
        <v>5</v>
      </c>
    </row>
    <row r="127" spans="1:8" s="22" customFormat="1" x14ac:dyDescent="0.25">
      <c r="A127" s="430" t="s">
        <v>159</v>
      </c>
      <c r="B127" s="430"/>
      <c r="C127" s="430"/>
      <c r="D127" s="430"/>
      <c r="E127" s="430"/>
      <c r="F127" s="430"/>
      <c r="G127" s="430"/>
      <c r="H127" s="430"/>
    </row>
    <row r="128" spans="1:8" s="22" customFormat="1" x14ac:dyDescent="0.25">
      <c r="A128" s="19" t="s">
        <v>155</v>
      </c>
      <c r="B128" s="36">
        <v>8888.7000000000007</v>
      </c>
      <c r="C128" s="37">
        <v>100.5</v>
      </c>
      <c r="D128" s="37">
        <v>8449</v>
      </c>
      <c r="E128" s="37">
        <v>100.6</v>
      </c>
      <c r="F128" s="37">
        <v>439.7</v>
      </c>
      <c r="G128" s="37">
        <v>97.6</v>
      </c>
      <c r="H128" s="37">
        <v>4.9000000000000004</v>
      </c>
    </row>
    <row r="129" spans="1:8" s="22" customFormat="1" x14ac:dyDescent="0.25">
      <c r="A129" s="19" t="s">
        <v>156</v>
      </c>
      <c r="B129" s="36">
        <v>8889.2000000000007</v>
      </c>
      <c r="C129" s="37">
        <v>100.7</v>
      </c>
      <c r="D129" s="37">
        <v>8450.1</v>
      </c>
      <c r="E129" s="37">
        <v>100.8</v>
      </c>
      <c r="F129" s="37">
        <v>439.1</v>
      </c>
      <c r="G129" s="37">
        <v>98.5</v>
      </c>
      <c r="H129" s="37">
        <v>4.9000000000000004</v>
      </c>
    </row>
    <row r="130" spans="1:8" s="22" customFormat="1" x14ac:dyDescent="0.25">
      <c r="A130" s="19" t="s">
        <v>157</v>
      </c>
      <c r="B130" s="36">
        <v>8902.2999999999993</v>
      </c>
      <c r="C130" s="37">
        <v>100.8</v>
      </c>
      <c r="D130" s="37">
        <v>8463.5</v>
      </c>
      <c r="E130" s="37">
        <v>100.9</v>
      </c>
      <c r="F130" s="37">
        <v>438.8</v>
      </c>
      <c r="G130" s="37">
        <v>98.6</v>
      </c>
      <c r="H130" s="37">
        <v>4.9000000000000004</v>
      </c>
    </row>
    <row r="131" spans="1:8" s="22" customFormat="1" x14ac:dyDescent="0.25">
      <c r="A131" s="19" t="s">
        <v>141</v>
      </c>
      <c r="B131" s="36">
        <v>8893.4</v>
      </c>
      <c r="C131" s="37">
        <v>100.6</v>
      </c>
      <c r="D131" s="37">
        <v>8454.2000000000007</v>
      </c>
      <c r="E131" s="37">
        <v>100.8</v>
      </c>
      <c r="F131" s="37">
        <v>439.2</v>
      </c>
      <c r="G131" s="37">
        <v>98.2</v>
      </c>
      <c r="H131" s="37">
        <v>4.9000000000000004</v>
      </c>
    </row>
    <row r="132" spans="1:8" s="22" customFormat="1" x14ac:dyDescent="0.25">
      <c r="A132" s="19" t="s">
        <v>142</v>
      </c>
      <c r="B132" s="36">
        <v>8957</v>
      </c>
      <c r="C132" s="37">
        <v>100.8</v>
      </c>
      <c r="D132" s="37">
        <v>8517.6</v>
      </c>
      <c r="E132" s="37">
        <v>100.9</v>
      </c>
      <c r="F132" s="37">
        <v>439.4</v>
      </c>
      <c r="G132" s="37">
        <v>98.4</v>
      </c>
      <c r="H132" s="37">
        <v>4.9000000000000004</v>
      </c>
    </row>
    <row r="133" spans="1:8" s="22" customFormat="1" x14ac:dyDescent="0.25">
      <c r="A133" s="19" t="s">
        <v>143</v>
      </c>
      <c r="B133" s="36">
        <v>8989.4</v>
      </c>
      <c r="C133" s="37">
        <v>100.6</v>
      </c>
      <c r="D133" s="37">
        <v>8550</v>
      </c>
      <c r="E133" s="37">
        <v>100.8</v>
      </c>
      <c r="F133" s="37">
        <v>439.4</v>
      </c>
      <c r="G133" s="37">
        <v>98.1</v>
      </c>
      <c r="H133" s="37">
        <v>4.9000000000000004</v>
      </c>
    </row>
    <row r="134" spans="1:8" s="22" customFormat="1" x14ac:dyDescent="0.25">
      <c r="A134" s="19" t="s">
        <v>144</v>
      </c>
      <c r="B134" s="36">
        <v>8994.5</v>
      </c>
      <c r="C134" s="37">
        <v>100.2</v>
      </c>
      <c r="D134" s="37">
        <v>8555.4</v>
      </c>
      <c r="E134" s="37">
        <v>100.3</v>
      </c>
      <c r="F134" s="37">
        <v>439.1</v>
      </c>
      <c r="G134" s="37">
        <v>98.1</v>
      </c>
      <c r="H134" s="37">
        <v>4.9000000000000004</v>
      </c>
    </row>
    <row r="135" spans="1:8" s="22" customFormat="1" x14ac:dyDescent="0.25">
      <c r="A135" s="19" t="s">
        <v>145</v>
      </c>
      <c r="B135" s="36">
        <v>8980.2999999999993</v>
      </c>
      <c r="C135" s="37">
        <v>100.5</v>
      </c>
      <c r="D135" s="37">
        <v>8541</v>
      </c>
      <c r="E135" s="37">
        <v>100.7</v>
      </c>
      <c r="F135" s="37">
        <v>439.3</v>
      </c>
      <c r="G135" s="37">
        <v>98.2</v>
      </c>
      <c r="H135" s="37">
        <v>4.9000000000000004</v>
      </c>
    </row>
    <row r="136" spans="1:8" s="22" customFormat="1" ht="17.25" x14ac:dyDescent="0.25">
      <c r="A136" s="19" t="s">
        <v>160</v>
      </c>
      <c r="B136" s="36">
        <v>8952.9</v>
      </c>
      <c r="C136" s="37">
        <v>99.3</v>
      </c>
      <c r="D136" s="37">
        <v>8515.9</v>
      </c>
      <c r="E136" s="37">
        <v>99.4</v>
      </c>
      <c r="F136" s="37">
        <v>437</v>
      </c>
      <c r="G136" s="37">
        <v>98</v>
      </c>
      <c r="H136" s="37">
        <v>4.9000000000000004</v>
      </c>
    </row>
    <row r="138" spans="1:8" x14ac:dyDescent="0.25">
      <c r="A138" s="31" t="s">
        <v>161</v>
      </c>
      <c r="B138" s="32"/>
      <c r="C138" s="32"/>
      <c r="D138" s="32"/>
      <c r="E138" s="32"/>
    </row>
    <row r="139" spans="1:8" x14ac:dyDescent="0.25">
      <c r="A139" s="28" t="s">
        <v>135</v>
      </c>
      <c r="B139" s="32"/>
      <c r="C139" s="32"/>
      <c r="D139" s="32"/>
      <c r="E139" s="32"/>
    </row>
    <row r="140" spans="1:8" x14ac:dyDescent="0.25">
      <c r="A140" s="428"/>
      <c r="B140" s="35" t="s">
        <v>162</v>
      </c>
      <c r="C140" s="35" t="s">
        <v>162</v>
      </c>
      <c r="D140" s="428" t="s">
        <v>164</v>
      </c>
      <c r="E140" s="35" t="s">
        <v>165</v>
      </c>
    </row>
    <row r="141" spans="1:8" ht="28.5" customHeight="1" x14ac:dyDescent="0.25">
      <c r="A141" s="428"/>
      <c r="B141" s="35" t="s">
        <v>163</v>
      </c>
      <c r="C141" s="35" t="s">
        <v>198</v>
      </c>
      <c r="D141" s="428"/>
      <c r="E141" s="35" t="s">
        <v>166</v>
      </c>
    </row>
    <row r="142" spans="1:8" x14ac:dyDescent="0.25">
      <c r="A142" s="16" t="s">
        <v>65</v>
      </c>
      <c r="B142" s="37" t="s">
        <v>167</v>
      </c>
      <c r="C142" s="37" t="s">
        <v>168</v>
      </c>
      <c r="D142" s="37">
        <v>116.2</v>
      </c>
      <c r="E142" s="37">
        <v>100.6</v>
      </c>
    </row>
    <row r="143" spans="1:8" x14ac:dyDescent="0.25">
      <c r="A143" s="19" t="s">
        <v>169</v>
      </c>
      <c r="B143" s="37">
        <v>734.4</v>
      </c>
      <c r="C143" s="37">
        <v>737.4</v>
      </c>
      <c r="D143" s="37">
        <v>3.1</v>
      </c>
      <c r="E143" s="37">
        <v>100.4</v>
      </c>
    </row>
    <row r="144" spans="1:8" x14ac:dyDescent="0.25">
      <c r="A144" s="19" t="s">
        <v>170</v>
      </c>
      <c r="B144" s="37">
        <v>845.7</v>
      </c>
      <c r="C144" s="37">
        <v>851.3</v>
      </c>
      <c r="D144" s="37">
        <v>5.7</v>
      </c>
      <c r="E144" s="37">
        <v>100.7</v>
      </c>
    </row>
    <row r="145" spans="1:7" x14ac:dyDescent="0.25">
      <c r="A145" s="19" t="s">
        <v>171</v>
      </c>
      <c r="B145" s="37" t="s">
        <v>172</v>
      </c>
      <c r="C145" s="37" t="s">
        <v>173</v>
      </c>
      <c r="D145" s="37">
        <v>19.7</v>
      </c>
      <c r="E145" s="37">
        <v>101</v>
      </c>
    </row>
    <row r="146" spans="1:7" x14ac:dyDescent="0.25">
      <c r="A146" s="19" t="s">
        <v>174</v>
      </c>
      <c r="B146" s="37">
        <v>607.5</v>
      </c>
      <c r="C146" s="37">
        <v>613.9</v>
      </c>
      <c r="D146" s="37">
        <v>6.4</v>
      </c>
      <c r="E146" s="37">
        <v>101</v>
      </c>
    </row>
    <row r="147" spans="1:7" x14ac:dyDescent="0.25">
      <c r="A147" s="19" t="s">
        <v>175</v>
      </c>
      <c r="B147" s="37">
        <v>641.5</v>
      </c>
      <c r="C147" s="37">
        <v>643.9</v>
      </c>
      <c r="D147" s="37">
        <v>2.4</v>
      </c>
      <c r="E147" s="37">
        <v>100.4</v>
      </c>
    </row>
    <row r="148" spans="1:7" x14ac:dyDescent="0.25">
      <c r="A148" s="19" t="s">
        <v>176</v>
      </c>
      <c r="B148" s="37" t="s">
        <v>177</v>
      </c>
      <c r="C148" s="37" t="s">
        <v>178</v>
      </c>
      <c r="D148" s="37">
        <v>1.1000000000000001</v>
      </c>
      <c r="E148" s="37">
        <v>100.1</v>
      </c>
    </row>
    <row r="149" spans="1:7" x14ac:dyDescent="0.25">
      <c r="A149" s="19" t="s">
        <v>179</v>
      </c>
      <c r="B149" s="37" t="s">
        <v>180</v>
      </c>
      <c r="C149" s="37" t="s">
        <v>181</v>
      </c>
      <c r="D149" s="37">
        <v>-1.2</v>
      </c>
      <c r="E149" s="37">
        <v>99.9</v>
      </c>
    </row>
    <row r="150" spans="1:7" x14ac:dyDescent="0.25">
      <c r="A150" s="19" t="s">
        <v>182</v>
      </c>
      <c r="B150" s="37">
        <v>879.1</v>
      </c>
      <c r="C150" s="37">
        <v>876.8</v>
      </c>
      <c r="D150" s="37">
        <v>-2.2999999999999998</v>
      </c>
      <c r="E150" s="37">
        <v>99.7</v>
      </c>
    </row>
    <row r="151" spans="1:7" x14ac:dyDescent="0.25">
      <c r="A151" s="19" t="s">
        <v>183</v>
      </c>
      <c r="B151" s="37">
        <v>773.1</v>
      </c>
      <c r="C151" s="37">
        <v>777.7</v>
      </c>
      <c r="D151" s="37">
        <v>4.5999999999999996</v>
      </c>
      <c r="E151" s="37">
        <v>100.6</v>
      </c>
    </row>
    <row r="152" spans="1:7" x14ac:dyDescent="0.25">
      <c r="A152" s="19" t="s">
        <v>184</v>
      </c>
      <c r="B152" s="37">
        <v>642.79999999999995</v>
      </c>
      <c r="C152" s="37">
        <v>650.5</v>
      </c>
      <c r="D152" s="37">
        <v>7.7</v>
      </c>
      <c r="E152" s="37">
        <v>101.2</v>
      </c>
    </row>
    <row r="153" spans="1:7" x14ac:dyDescent="0.25">
      <c r="A153" s="19" t="s">
        <v>185</v>
      </c>
      <c r="B153" s="37" t="s">
        <v>186</v>
      </c>
      <c r="C153" s="37" t="s">
        <v>187</v>
      </c>
      <c r="D153" s="37">
        <v>21.2</v>
      </c>
      <c r="E153" s="37">
        <v>100.7</v>
      </c>
    </row>
    <row r="154" spans="1:7" x14ac:dyDescent="0.25">
      <c r="A154" s="19" t="s">
        <v>188</v>
      </c>
      <c r="B154" s="37">
        <v>757</v>
      </c>
      <c r="C154" s="37">
        <v>755.9</v>
      </c>
      <c r="D154" s="37">
        <v>-1.2</v>
      </c>
      <c r="E154" s="37">
        <v>99.8</v>
      </c>
    </row>
    <row r="155" spans="1:7" x14ac:dyDescent="0.25">
      <c r="A155" s="19" t="s">
        <v>189</v>
      </c>
      <c r="B155" s="37">
        <v>563.29999999999995</v>
      </c>
      <c r="C155" s="37">
        <v>560.6</v>
      </c>
      <c r="D155" s="37">
        <v>-2.8</v>
      </c>
      <c r="E155" s="37">
        <v>99.5</v>
      </c>
    </row>
    <row r="156" spans="1:7" x14ac:dyDescent="0.25">
      <c r="A156" s="19" t="s">
        <v>190</v>
      </c>
      <c r="B156" s="37" t="s">
        <v>191</v>
      </c>
      <c r="C156" s="37" t="s">
        <v>192</v>
      </c>
      <c r="D156" s="37">
        <v>-3.5</v>
      </c>
      <c r="E156" s="37">
        <v>99.7</v>
      </c>
    </row>
    <row r="157" spans="1:7" x14ac:dyDescent="0.25">
      <c r="A157" s="19" t="s">
        <v>193</v>
      </c>
      <c r="B157" s="37">
        <v>972.7</v>
      </c>
      <c r="C157" s="37" t="s">
        <v>194</v>
      </c>
      <c r="D157" s="37">
        <v>33.9</v>
      </c>
      <c r="E157" s="37">
        <v>103.5</v>
      </c>
    </row>
    <row r="158" spans="1:7" x14ac:dyDescent="0.25">
      <c r="A158" s="19" t="s">
        <v>195</v>
      </c>
      <c r="B158" s="37" t="s">
        <v>196</v>
      </c>
      <c r="C158" s="37" t="s">
        <v>197</v>
      </c>
      <c r="D158" s="37">
        <v>21.6</v>
      </c>
      <c r="E158" s="37">
        <v>101.2</v>
      </c>
    </row>
    <row r="160" spans="1:7" x14ac:dyDescent="0.25">
      <c r="A160" s="431" t="s">
        <v>199</v>
      </c>
      <c r="B160" s="431"/>
      <c r="C160" s="431"/>
      <c r="D160" s="431"/>
      <c r="E160" s="431"/>
      <c r="F160" s="431"/>
      <c r="G160" s="431"/>
    </row>
    <row r="161" spans="1:7" x14ac:dyDescent="0.25">
      <c r="A161" s="428"/>
      <c r="B161" s="428" t="s">
        <v>55</v>
      </c>
      <c r="C161" s="428"/>
      <c r="D161" s="428"/>
      <c r="E161" s="428" t="s">
        <v>200</v>
      </c>
      <c r="F161" s="428"/>
      <c r="G161" s="428"/>
    </row>
    <row r="162" spans="1:7" x14ac:dyDescent="0.25">
      <c r="A162" s="428"/>
      <c r="B162" s="428" t="s">
        <v>201</v>
      </c>
      <c r="C162" s="428" t="s">
        <v>202</v>
      </c>
      <c r="D162" s="428"/>
      <c r="E162" s="428" t="s">
        <v>201</v>
      </c>
      <c r="F162" s="428" t="s">
        <v>202</v>
      </c>
      <c r="G162" s="428"/>
    </row>
    <row r="163" spans="1:7" ht="45" x14ac:dyDescent="0.25">
      <c r="A163" s="428"/>
      <c r="B163" s="428"/>
      <c r="C163" s="35" t="s">
        <v>203</v>
      </c>
      <c r="D163" s="35" t="s">
        <v>204</v>
      </c>
      <c r="E163" s="428"/>
      <c r="F163" s="35" t="s">
        <v>203</v>
      </c>
      <c r="G163" s="35" t="s">
        <v>205</v>
      </c>
    </row>
    <row r="164" spans="1:7" x14ac:dyDescent="0.25">
      <c r="A164" s="16" t="s">
        <v>65</v>
      </c>
      <c r="B164" s="17">
        <v>149951</v>
      </c>
      <c r="C164" s="37">
        <v>106.9</v>
      </c>
      <c r="D164" s="37">
        <v>104.4</v>
      </c>
      <c r="E164" s="17">
        <v>164434</v>
      </c>
      <c r="F164" s="37">
        <v>105.8</v>
      </c>
      <c r="G164" s="37">
        <v>104.7</v>
      </c>
    </row>
    <row r="165" spans="1:7" x14ac:dyDescent="0.25">
      <c r="A165" s="19" t="s">
        <v>169</v>
      </c>
      <c r="B165" s="17">
        <v>112581</v>
      </c>
      <c r="C165" s="37">
        <v>111.1</v>
      </c>
      <c r="D165" s="37">
        <v>106.2</v>
      </c>
      <c r="E165" s="17">
        <v>118989</v>
      </c>
      <c r="F165" s="37">
        <v>110.6</v>
      </c>
      <c r="G165" s="37">
        <v>107.5</v>
      </c>
    </row>
    <row r="166" spans="1:7" x14ac:dyDescent="0.25">
      <c r="A166" s="19" t="s">
        <v>170</v>
      </c>
      <c r="B166" s="17">
        <v>126892</v>
      </c>
      <c r="C166" s="37">
        <v>109.6</v>
      </c>
      <c r="D166" s="37">
        <v>107.7</v>
      </c>
      <c r="E166" s="17">
        <v>136369</v>
      </c>
      <c r="F166" s="37">
        <v>108</v>
      </c>
      <c r="G166" s="37">
        <v>108.5</v>
      </c>
    </row>
    <row r="167" spans="1:7" x14ac:dyDescent="0.25">
      <c r="A167" s="19" t="s">
        <v>171</v>
      </c>
      <c r="B167" s="17">
        <v>113477</v>
      </c>
      <c r="C167" s="37">
        <v>108.4</v>
      </c>
      <c r="D167" s="37">
        <v>105.4</v>
      </c>
      <c r="E167" s="17">
        <v>124231</v>
      </c>
      <c r="F167" s="37">
        <v>107.6</v>
      </c>
      <c r="G167" s="37">
        <v>106.7</v>
      </c>
    </row>
    <row r="168" spans="1:7" x14ac:dyDescent="0.25">
      <c r="A168" s="19" t="s">
        <v>174</v>
      </c>
      <c r="B168" s="17">
        <v>250797</v>
      </c>
      <c r="C168" s="37">
        <v>97.9</v>
      </c>
      <c r="D168" s="37">
        <v>94.6</v>
      </c>
      <c r="E168" s="17">
        <v>282769</v>
      </c>
      <c r="F168" s="37">
        <v>96.5</v>
      </c>
      <c r="G168" s="37">
        <v>93.9</v>
      </c>
    </row>
    <row r="169" spans="1:7" x14ac:dyDescent="0.25">
      <c r="A169" s="19" t="s">
        <v>175</v>
      </c>
      <c r="B169" s="17">
        <v>144669</v>
      </c>
      <c r="C169" s="37">
        <v>109.4</v>
      </c>
      <c r="D169" s="37">
        <v>103.2</v>
      </c>
      <c r="E169" s="17">
        <v>168692</v>
      </c>
      <c r="F169" s="37">
        <v>107.5</v>
      </c>
      <c r="G169" s="37">
        <v>101.9</v>
      </c>
    </row>
    <row r="170" spans="1:7" x14ac:dyDescent="0.25">
      <c r="A170" s="19" t="s">
        <v>176</v>
      </c>
      <c r="B170" s="17">
        <v>103051</v>
      </c>
      <c r="C170" s="37">
        <v>109.2</v>
      </c>
      <c r="D170" s="37">
        <v>104.3</v>
      </c>
      <c r="E170" s="17">
        <v>109289</v>
      </c>
      <c r="F170" s="37">
        <v>109.1</v>
      </c>
      <c r="G170" s="37">
        <v>104.2</v>
      </c>
    </row>
    <row r="171" spans="1:7" x14ac:dyDescent="0.25">
      <c r="A171" s="19" t="s">
        <v>179</v>
      </c>
      <c r="B171" s="17">
        <v>131970</v>
      </c>
      <c r="C171" s="37">
        <v>103.7</v>
      </c>
      <c r="D171" s="37">
        <v>104.7</v>
      </c>
      <c r="E171" s="17">
        <v>140767</v>
      </c>
      <c r="F171" s="37">
        <v>102.4</v>
      </c>
      <c r="G171" s="37">
        <v>104.9</v>
      </c>
    </row>
    <row r="172" spans="1:7" x14ac:dyDescent="0.25">
      <c r="A172" s="19" t="s">
        <v>182</v>
      </c>
      <c r="B172" s="17">
        <v>116123</v>
      </c>
      <c r="C172" s="37">
        <v>110.8</v>
      </c>
      <c r="D172" s="37">
        <v>107.4</v>
      </c>
      <c r="E172" s="17">
        <v>120899</v>
      </c>
      <c r="F172" s="37">
        <v>108.7</v>
      </c>
      <c r="G172" s="37">
        <v>108.3</v>
      </c>
    </row>
    <row r="173" spans="1:7" x14ac:dyDescent="0.25">
      <c r="A173" s="19" t="s">
        <v>183</v>
      </c>
      <c r="B173" s="17">
        <v>127404</v>
      </c>
      <c r="C173" s="37">
        <v>109.9</v>
      </c>
      <c r="D173" s="37">
        <v>102.1</v>
      </c>
      <c r="E173" s="17">
        <v>137094</v>
      </c>
      <c r="F173" s="37">
        <v>108.6</v>
      </c>
      <c r="G173" s="37">
        <v>101.9</v>
      </c>
    </row>
    <row r="174" spans="1:7" x14ac:dyDescent="0.25">
      <c r="A174" s="19" t="s">
        <v>184</v>
      </c>
      <c r="B174" s="17">
        <v>253929</v>
      </c>
      <c r="C174" s="37">
        <v>102.7</v>
      </c>
      <c r="D174" s="37">
        <v>107</v>
      </c>
      <c r="E174" s="17">
        <v>289329</v>
      </c>
      <c r="F174" s="37">
        <v>102</v>
      </c>
      <c r="G174" s="37">
        <v>108.4</v>
      </c>
    </row>
    <row r="175" spans="1:7" x14ac:dyDescent="0.25">
      <c r="A175" s="19" t="s">
        <v>185</v>
      </c>
      <c r="B175" s="17">
        <v>108496</v>
      </c>
      <c r="C175" s="37">
        <v>113.4</v>
      </c>
      <c r="D175" s="37">
        <v>105.1</v>
      </c>
      <c r="E175" s="17">
        <v>117679</v>
      </c>
      <c r="F175" s="37">
        <v>113.3</v>
      </c>
      <c r="G175" s="37">
        <v>106.3</v>
      </c>
    </row>
    <row r="176" spans="1:7" x14ac:dyDescent="0.25">
      <c r="A176" s="19" t="s">
        <v>188</v>
      </c>
      <c r="B176" s="17">
        <v>128809</v>
      </c>
      <c r="C176" s="37">
        <v>105.6</v>
      </c>
      <c r="D176" s="37">
        <v>106.8</v>
      </c>
      <c r="E176" s="17">
        <v>139678</v>
      </c>
      <c r="F176" s="37">
        <v>103.9</v>
      </c>
      <c r="G176" s="37">
        <v>107</v>
      </c>
    </row>
    <row r="177" spans="1:9" x14ac:dyDescent="0.25">
      <c r="A177" s="19" t="s">
        <v>189</v>
      </c>
      <c r="B177" s="17">
        <v>105657</v>
      </c>
      <c r="C177" s="37">
        <v>112.5</v>
      </c>
      <c r="D177" s="37">
        <v>105.7</v>
      </c>
      <c r="E177" s="17">
        <v>111444</v>
      </c>
      <c r="F177" s="37">
        <v>113.2</v>
      </c>
      <c r="G177" s="37">
        <v>108</v>
      </c>
    </row>
    <row r="178" spans="1:9" x14ac:dyDescent="0.25">
      <c r="A178" s="19" t="s">
        <v>190</v>
      </c>
      <c r="B178" s="17">
        <v>123941</v>
      </c>
      <c r="C178" s="37">
        <v>106.8</v>
      </c>
      <c r="D178" s="37">
        <v>105.5</v>
      </c>
      <c r="E178" s="17">
        <v>132881</v>
      </c>
      <c r="F178" s="37">
        <v>105.1</v>
      </c>
      <c r="G178" s="37">
        <v>106.1</v>
      </c>
    </row>
    <row r="179" spans="1:9" x14ac:dyDescent="0.25">
      <c r="A179" s="19" t="s">
        <v>193</v>
      </c>
      <c r="B179" s="17">
        <v>223453</v>
      </c>
      <c r="C179" s="37">
        <v>109.8</v>
      </c>
      <c r="D179" s="37">
        <v>108.7</v>
      </c>
      <c r="E179" s="17">
        <v>232349</v>
      </c>
      <c r="F179" s="37">
        <v>110.3</v>
      </c>
      <c r="G179" s="37">
        <v>110.2</v>
      </c>
    </row>
    <row r="180" spans="1:9" x14ac:dyDescent="0.25">
      <c r="A180" s="19" t="s">
        <v>206</v>
      </c>
      <c r="B180" s="17">
        <v>190248</v>
      </c>
      <c r="C180" s="37">
        <v>105.8</v>
      </c>
      <c r="D180" s="37">
        <v>101.6</v>
      </c>
      <c r="E180" s="17">
        <v>191649</v>
      </c>
      <c r="F180" s="37">
        <v>105.9</v>
      </c>
      <c r="G180" s="37">
        <v>101.5</v>
      </c>
    </row>
    <row r="182" spans="1:9" ht="102" customHeight="1" x14ac:dyDescent="0.3">
      <c r="A182" s="424" t="s">
        <v>213</v>
      </c>
      <c r="B182" s="424"/>
      <c r="C182" s="424"/>
      <c r="D182" s="424"/>
      <c r="E182" s="424"/>
      <c r="F182" s="424"/>
      <c r="G182" s="424"/>
    </row>
    <row r="184" spans="1:9" x14ac:dyDescent="0.25">
      <c r="A184" s="427" t="s">
        <v>199</v>
      </c>
      <c r="B184" s="427"/>
      <c r="C184" s="427"/>
      <c r="D184" s="427"/>
      <c r="E184" s="427"/>
      <c r="F184" s="427"/>
      <c r="G184" s="427"/>
    </row>
    <row r="185" spans="1:9" x14ac:dyDescent="0.25">
      <c r="A185" s="428"/>
      <c r="B185" s="35" t="s">
        <v>55</v>
      </c>
      <c r="C185" s="24"/>
      <c r="D185" s="24"/>
      <c r="E185" s="429"/>
      <c r="F185" s="429"/>
      <c r="G185" s="429"/>
      <c r="I185" s="39"/>
    </row>
    <row r="186" spans="1:9" x14ac:dyDescent="0.25">
      <c r="A186" s="428"/>
      <c r="B186" s="428" t="s">
        <v>201</v>
      </c>
      <c r="C186" s="429"/>
      <c r="D186" s="429"/>
      <c r="E186" s="429"/>
      <c r="F186" s="429"/>
      <c r="G186" s="429"/>
      <c r="I186" s="39"/>
    </row>
    <row r="187" spans="1:9" ht="30" customHeight="1" x14ac:dyDescent="0.25">
      <c r="A187" s="428"/>
      <c r="B187" s="428"/>
      <c r="C187" s="24"/>
      <c r="D187" s="24"/>
      <c r="E187" s="429"/>
      <c r="F187" s="24"/>
      <c r="G187" s="24"/>
      <c r="I187" s="39"/>
    </row>
    <row r="188" spans="1:9" ht="33" customHeight="1" x14ac:dyDescent="0.25">
      <c r="A188" s="16" t="s">
        <v>65</v>
      </c>
      <c r="B188" s="41">
        <v>149951</v>
      </c>
      <c r="C188" s="46"/>
      <c r="D188" s="46"/>
      <c r="E188" s="33"/>
      <c r="F188" s="46"/>
      <c r="G188" s="46"/>
      <c r="I188" s="39"/>
    </row>
    <row r="189" spans="1:9" ht="29.25" customHeight="1" x14ac:dyDescent="0.25">
      <c r="A189" s="19" t="s">
        <v>169</v>
      </c>
      <c r="B189" s="41">
        <v>112581</v>
      </c>
      <c r="C189" s="46"/>
      <c r="D189" s="46"/>
      <c r="E189" s="33"/>
      <c r="F189" s="46"/>
      <c r="G189" s="46"/>
      <c r="I189" s="39"/>
    </row>
    <row r="190" spans="1:9" ht="30.75" customHeight="1" x14ac:dyDescent="0.25">
      <c r="A190" s="19" t="s">
        <v>170</v>
      </c>
      <c r="B190" s="41">
        <v>126892</v>
      </c>
      <c r="C190" s="46"/>
      <c r="D190" s="46"/>
      <c r="E190" s="33"/>
      <c r="F190" s="46"/>
      <c r="G190" s="46"/>
      <c r="I190" s="39"/>
    </row>
    <row r="191" spans="1:9" x14ac:dyDescent="0.25">
      <c r="A191" s="19" t="s">
        <v>171</v>
      </c>
      <c r="B191" s="41">
        <v>113477</v>
      </c>
      <c r="C191" s="46"/>
      <c r="D191" s="46"/>
      <c r="E191" s="33"/>
      <c r="F191" s="46"/>
      <c r="G191" s="46"/>
    </row>
    <row r="192" spans="1:9" x14ac:dyDescent="0.25">
      <c r="A192" s="19" t="s">
        <v>174</v>
      </c>
      <c r="B192" s="41">
        <v>250797</v>
      </c>
      <c r="C192" s="46"/>
      <c r="D192" s="46"/>
      <c r="E192" s="33"/>
      <c r="F192" s="46"/>
      <c r="G192" s="46"/>
    </row>
    <row r="193" spans="1:18" x14ac:dyDescent="0.25">
      <c r="A193" s="19" t="s">
        <v>175</v>
      </c>
      <c r="B193" s="41">
        <v>144669</v>
      </c>
      <c r="C193" s="46"/>
      <c r="D193" s="46"/>
      <c r="E193" s="33"/>
      <c r="F193" s="46"/>
      <c r="G193" s="46"/>
    </row>
    <row r="194" spans="1:18" x14ac:dyDescent="0.25">
      <c r="A194" s="19" t="s">
        <v>176</v>
      </c>
      <c r="B194" s="41">
        <v>103051</v>
      </c>
      <c r="C194" s="46"/>
      <c r="D194" s="46"/>
      <c r="E194" s="33"/>
      <c r="F194" s="46"/>
      <c r="G194" s="46"/>
    </row>
    <row r="195" spans="1:18" x14ac:dyDescent="0.25">
      <c r="A195" s="19" t="s">
        <v>179</v>
      </c>
      <c r="B195" s="41">
        <v>131970</v>
      </c>
      <c r="C195" s="46"/>
      <c r="D195" s="46"/>
      <c r="E195" s="33"/>
      <c r="F195" s="46"/>
      <c r="G195" s="46"/>
    </row>
    <row r="196" spans="1:18" x14ac:dyDescent="0.25">
      <c r="A196" s="19" t="s">
        <v>182</v>
      </c>
      <c r="B196" s="41">
        <v>116123</v>
      </c>
      <c r="C196" s="46"/>
      <c r="D196" s="46"/>
      <c r="E196" s="33"/>
      <c r="F196" s="46"/>
      <c r="G196" s="46"/>
    </row>
    <row r="197" spans="1:18" x14ac:dyDescent="0.25">
      <c r="A197" s="19" t="s">
        <v>183</v>
      </c>
      <c r="B197" s="41">
        <v>127404</v>
      </c>
      <c r="C197" s="46"/>
      <c r="D197" s="46"/>
      <c r="E197" s="33"/>
      <c r="F197" s="46"/>
      <c r="G197" s="46"/>
    </row>
    <row r="198" spans="1:18" x14ac:dyDescent="0.25">
      <c r="A198" s="19" t="s">
        <v>184</v>
      </c>
      <c r="B198" s="41">
        <v>253929</v>
      </c>
      <c r="C198" s="46"/>
      <c r="D198" s="46"/>
      <c r="E198" s="33"/>
      <c r="F198" s="46"/>
      <c r="G198" s="46"/>
    </row>
    <row r="199" spans="1:18" x14ac:dyDescent="0.25">
      <c r="A199" s="19" t="s">
        <v>185</v>
      </c>
      <c r="B199" s="41">
        <v>108496</v>
      </c>
      <c r="C199" s="46"/>
      <c r="D199" s="46"/>
      <c r="E199" s="33"/>
      <c r="F199" s="46"/>
      <c r="G199" s="46"/>
    </row>
    <row r="200" spans="1:18" x14ac:dyDescent="0.25">
      <c r="A200" s="19" t="s">
        <v>188</v>
      </c>
      <c r="B200" s="41">
        <v>128809</v>
      </c>
      <c r="C200" s="46"/>
      <c r="D200" s="46"/>
      <c r="E200" s="33"/>
      <c r="F200" s="46"/>
      <c r="G200" s="46"/>
    </row>
    <row r="201" spans="1:18" x14ac:dyDescent="0.25">
      <c r="A201" s="19" t="s">
        <v>189</v>
      </c>
      <c r="B201" s="41">
        <v>105657</v>
      </c>
      <c r="C201" s="46"/>
      <c r="D201" s="46"/>
      <c r="E201" s="33"/>
      <c r="F201" s="46"/>
      <c r="G201" s="46"/>
    </row>
    <row r="202" spans="1:18" x14ac:dyDescent="0.25">
      <c r="A202" s="19" t="s">
        <v>190</v>
      </c>
      <c r="B202" s="41">
        <v>123941</v>
      </c>
      <c r="C202" s="46"/>
      <c r="D202" s="46"/>
      <c r="E202" s="33"/>
      <c r="F202" s="46"/>
      <c r="G202" s="46"/>
    </row>
    <row r="203" spans="1:18" x14ac:dyDescent="0.25">
      <c r="A203" s="19" t="s">
        <v>193</v>
      </c>
      <c r="B203" s="41">
        <v>223453</v>
      </c>
      <c r="C203" s="46"/>
      <c r="D203" s="46"/>
      <c r="E203" s="33"/>
      <c r="F203" s="46"/>
      <c r="G203" s="46"/>
    </row>
    <row r="204" spans="1:18" x14ac:dyDescent="0.25">
      <c r="A204" s="19" t="s">
        <v>206</v>
      </c>
      <c r="B204" s="41">
        <v>190248</v>
      </c>
      <c r="C204" s="46"/>
      <c r="D204" s="46"/>
      <c r="E204" s="33"/>
      <c r="F204" s="46"/>
      <c r="G204" s="46"/>
    </row>
    <row r="206" spans="1:18" s="40" customFormat="1" ht="43.5" customHeight="1" x14ac:dyDescent="0.3">
      <c r="A206" s="424" t="s">
        <v>214</v>
      </c>
      <c r="B206" s="424"/>
      <c r="C206" s="424"/>
      <c r="D206" s="424"/>
      <c r="E206" s="424"/>
      <c r="F206" s="424"/>
      <c r="G206" s="424"/>
      <c r="Q206" s="40" t="s">
        <v>211</v>
      </c>
      <c r="R206" s="40">
        <f>11/2</f>
        <v>5.5</v>
      </c>
    </row>
    <row r="207" spans="1:18" ht="15.75" thickBot="1" x14ac:dyDescent="0.3">
      <c r="N207" s="13">
        <f>17/3</f>
        <v>5.666666666666667</v>
      </c>
      <c r="Q207" s="13" t="s">
        <v>6</v>
      </c>
      <c r="R207" s="13" t="e">
        <f>(#REF!-#REF!)/5</f>
        <v>#REF!</v>
      </c>
    </row>
    <row r="208" spans="1:18" s="40" customFormat="1" ht="30.75" thickBot="1" x14ac:dyDescent="0.3">
      <c r="A208" s="42" t="s">
        <v>215</v>
      </c>
      <c r="B208" s="43" t="s">
        <v>216</v>
      </c>
      <c r="D208" s="425"/>
      <c r="E208" s="425"/>
      <c r="F208" s="425"/>
      <c r="G208" s="425"/>
      <c r="H208" s="425"/>
      <c r="I208" s="425"/>
    </row>
    <row r="209" spans="1:9" x14ac:dyDescent="0.25">
      <c r="A209" s="52">
        <v>25</v>
      </c>
      <c r="B209" s="53">
        <v>1</v>
      </c>
      <c r="C209" s="40"/>
      <c r="D209" s="47"/>
      <c r="E209" s="47"/>
      <c r="F209" s="47"/>
      <c r="G209" s="47"/>
      <c r="H209" s="47"/>
      <c r="I209" s="47"/>
    </row>
    <row r="210" spans="1:9" x14ac:dyDescent="0.25">
      <c r="A210" s="54">
        <v>27</v>
      </c>
      <c r="B210" s="55">
        <v>3</v>
      </c>
      <c r="C210" s="40"/>
      <c r="D210" s="47"/>
      <c r="E210" s="47"/>
      <c r="F210" s="48"/>
      <c r="G210" s="47"/>
      <c r="H210" s="47"/>
      <c r="I210" s="47"/>
    </row>
    <row r="211" spans="1:9" x14ac:dyDescent="0.25">
      <c r="A211" s="54">
        <v>28</v>
      </c>
      <c r="B211" s="55">
        <v>4</v>
      </c>
      <c r="C211" s="40"/>
      <c r="D211" s="47"/>
      <c r="E211" s="47"/>
      <c r="F211" s="47"/>
      <c r="G211" s="47"/>
      <c r="H211" s="47"/>
      <c r="I211" s="47"/>
    </row>
    <row r="212" spans="1:9" x14ac:dyDescent="0.25">
      <c r="A212" s="54">
        <v>29</v>
      </c>
      <c r="B212" s="55">
        <v>2</v>
      </c>
      <c r="C212" s="40"/>
      <c r="D212" s="47"/>
      <c r="E212" s="47"/>
      <c r="F212" s="47"/>
      <c r="G212" s="47"/>
      <c r="H212" s="47"/>
      <c r="I212" s="47"/>
    </row>
    <row r="213" spans="1:9" x14ac:dyDescent="0.25">
      <c r="A213" s="54">
        <v>30</v>
      </c>
      <c r="B213" s="55">
        <v>7</v>
      </c>
      <c r="C213" s="40"/>
      <c r="D213" s="426"/>
      <c r="E213" s="426"/>
      <c r="F213" s="426"/>
      <c r="G213" s="426"/>
      <c r="H213" s="426"/>
      <c r="I213" s="426"/>
    </row>
    <row r="214" spans="1:9" x14ac:dyDescent="0.25">
      <c r="A214" s="54">
        <v>32</v>
      </c>
      <c r="B214" s="55">
        <v>5</v>
      </c>
      <c r="C214" s="40"/>
      <c r="D214" s="426"/>
      <c r="E214" s="426"/>
      <c r="F214" s="426"/>
      <c r="G214" s="426"/>
      <c r="H214" s="49"/>
      <c r="I214" s="49"/>
    </row>
    <row r="215" spans="1:9" x14ac:dyDescent="0.25">
      <c r="A215" s="54">
        <v>34</v>
      </c>
      <c r="B215" s="55">
        <v>5</v>
      </c>
      <c r="C215" s="40"/>
      <c r="D215" s="34"/>
      <c r="E215" s="34"/>
      <c r="F215" s="34"/>
      <c r="G215" s="34"/>
      <c r="H215" s="34"/>
      <c r="I215" s="45"/>
    </row>
    <row r="216" spans="1:9" x14ac:dyDescent="0.25">
      <c r="A216" s="54">
        <v>35</v>
      </c>
      <c r="B216" s="55">
        <v>6</v>
      </c>
      <c r="C216" s="40"/>
      <c r="D216" s="34"/>
      <c r="E216" s="34"/>
      <c r="F216" s="34"/>
      <c r="G216" s="34"/>
      <c r="H216" s="34"/>
      <c r="I216" s="45"/>
    </row>
    <row r="217" spans="1:9" x14ac:dyDescent="0.25">
      <c r="A217" s="54">
        <v>38</v>
      </c>
      <c r="B217" s="55">
        <v>12</v>
      </c>
      <c r="C217" s="40"/>
      <c r="D217" s="34"/>
      <c r="E217" s="34"/>
      <c r="F217" s="34"/>
      <c r="G217" s="34"/>
      <c r="H217" s="34"/>
      <c r="I217" s="45"/>
    </row>
    <row r="218" spans="1:9" x14ac:dyDescent="0.25">
      <c r="A218" s="54">
        <v>40</v>
      </c>
      <c r="B218" s="55">
        <v>10</v>
      </c>
      <c r="C218" s="40"/>
      <c r="D218" s="34"/>
      <c r="E218" s="34"/>
      <c r="F218" s="34"/>
      <c r="G218" s="34"/>
      <c r="H218" s="34"/>
      <c r="I218" s="45"/>
    </row>
    <row r="219" spans="1:9" x14ac:dyDescent="0.25">
      <c r="A219" s="54">
        <v>42</v>
      </c>
      <c r="B219" s="55">
        <v>12</v>
      </c>
      <c r="C219" s="40"/>
      <c r="D219" s="34"/>
      <c r="E219" s="34"/>
      <c r="F219" s="34"/>
      <c r="G219" s="34"/>
      <c r="H219" s="34"/>
      <c r="I219" s="45"/>
    </row>
    <row r="220" spans="1:9" x14ac:dyDescent="0.25">
      <c r="A220" s="54">
        <v>45</v>
      </c>
      <c r="B220" s="55">
        <v>7</v>
      </c>
      <c r="C220" s="40"/>
      <c r="D220" s="50"/>
      <c r="E220" s="50"/>
      <c r="F220" s="50"/>
      <c r="G220" s="50"/>
      <c r="H220" s="50"/>
      <c r="I220" s="51"/>
    </row>
    <row r="221" spans="1:9" x14ac:dyDescent="0.25">
      <c r="A221" s="54">
        <v>49</v>
      </c>
      <c r="B221" s="55">
        <v>8</v>
      </c>
      <c r="C221" s="40"/>
      <c r="D221" s="50"/>
      <c r="E221" s="50"/>
      <c r="F221" s="50"/>
      <c r="G221" s="50"/>
      <c r="H221" s="50"/>
      <c r="I221" s="51"/>
    </row>
    <row r="222" spans="1:9" x14ac:dyDescent="0.25">
      <c r="A222" s="54">
        <v>50</v>
      </c>
      <c r="B222" s="55">
        <v>3</v>
      </c>
      <c r="C222" s="40"/>
      <c r="D222" s="34"/>
      <c r="E222" s="34"/>
      <c r="F222" s="34"/>
      <c r="G222" s="34"/>
      <c r="H222" s="34"/>
      <c r="I222" s="45"/>
    </row>
    <row r="223" spans="1:9" x14ac:dyDescent="0.25">
      <c r="A223" s="54">
        <v>53</v>
      </c>
      <c r="B223" s="55">
        <v>7</v>
      </c>
      <c r="C223" s="40"/>
      <c r="D223" s="34"/>
      <c r="E223" s="34"/>
      <c r="F223" s="34"/>
      <c r="G223" s="34"/>
      <c r="H223" s="34"/>
      <c r="I223" s="45"/>
    </row>
    <row r="224" spans="1:9" x14ac:dyDescent="0.25">
      <c r="A224" s="54">
        <v>54</v>
      </c>
      <c r="B224" s="55">
        <v>12</v>
      </c>
      <c r="C224" s="40"/>
      <c r="D224" s="47"/>
      <c r="E224" s="47"/>
      <c r="F224" s="47"/>
      <c r="G224" s="47"/>
      <c r="H224" s="47"/>
      <c r="I224" s="47"/>
    </row>
    <row r="225" spans="1:10" x14ac:dyDescent="0.25">
      <c r="A225" s="54">
        <v>55</v>
      </c>
      <c r="B225" s="55">
        <v>10</v>
      </c>
      <c r="C225" s="40"/>
      <c r="D225" s="47"/>
      <c r="E225" s="47"/>
      <c r="F225" s="47"/>
      <c r="G225" s="47"/>
      <c r="H225" s="47"/>
      <c r="I225" s="47"/>
    </row>
    <row r="226" spans="1:10" x14ac:dyDescent="0.25">
      <c r="A226" s="54">
        <v>58</v>
      </c>
      <c r="B226" s="55">
        <v>5</v>
      </c>
      <c r="C226" s="40"/>
      <c r="D226" s="47"/>
      <c r="E226" s="47"/>
      <c r="F226" s="47"/>
      <c r="G226" s="47"/>
      <c r="H226" s="47"/>
      <c r="I226" s="47"/>
    </row>
    <row r="227" spans="1:10" x14ac:dyDescent="0.25">
      <c r="A227" s="54">
        <v>60</v>
      </c>
      <c r="B227" s="55">
        <v>3</v>
      </c>
      <c r="C227" s="40"/>
      <c r="D227" s="47"/>
      <c r="E227" s="47"/>
      <c r="F227" s="47"/>
      <c r="G227" s="47"/>
      <c r="H227" s="47"/>
      <c r="I227" s="47"/>
    </row>
    <row r="228" spans="1:10" ht="15.75" thickBot="1" x14ac:dyDescent="0.3">
      <c r="A228" s="56">
        <v>61</v>
      </c>
      <c r="B228" s="57">
        <v>1</v>
      </c>
      <c r="C228" s="40"/>
      <c r="D228" s="47"/>
      <c r="E228" s="47"/>
      <c r="F228" s="47"/>
      <c r="G228" s="47"/>
      <c r="H228" s="47"/>
      <c r="I228" s="47"/>
      <c r="J228" s="47"/>
    </row>
    <row r="229" spans="1:10" x14ac:dyDescent="0.25">
      <c r="A229" s="12"/>
      <c r="B229" s="44"/>
      <c r="D229" s="47"/>
      <c r="E229" s="47"/>
      <c r="F229" s="47"/>
      <c r="G229" s="47"/>
      <c r="H229" s="47"/>
      <c r="I229" s="47"/>
      <c r="J229" s="47"/>
    </row>
    <row r="230" spans="1:10" ht="53.25" customHeight="1" x14ac:dyDescent="0.3">
      <c r="A230" s="424" t="s">
        <v>217</v>
      </c>
      <c r="B230" s="424"/>
      <c r="C230" s="424"/>
      <c r="D230" s="424"/>
      <c r="E230" s="424"/>
      <c r="F230" s="424"/>
      <c r="J230" s="47"/>
    </row>
  </sheetData>
  <mergeCells count="59">
    <mergeCell ref="B51:B52"/>
    <mergeCell ref="C51:C52"/>
    <mergeCell ref="D51:D52"/>
    <mergeCell ref="A1:O1"/>
    <mergeCell ref="E5:L5"/>
    <mergeCell ref="E6:E9"/>
    <mergeCell ref="F6:F9"/>
    <mergeCell ref="G6:K6"/>
    <mergeCell ref="G7:G9"/>
    <mergeCell ref="H7:H9"/>
    <mergeCell ref="I7:J7"/>
    <mergeCell ref="K7:K9"/>
    <mergeCell ref="A34:A35"/>
    <mergeCell ref="B34:C34"/>
    <mergeCell ref="A46:A47"/>
    <mergeCell ref="C46:C47"/>
    <mergeCell ref="A109:H109"/>
    <mergeCell ref="B56:B57"/>
    <mergeCell ref="C56:C57"/>
    <mergeCell ref="D56:D57"/>
    <mergeCell ref="A60:D60"/>
    <mergeCell ref="A78:E78"/>
    <mergeCell ref="A79:A80"/>
    <mergeCell ref="B79:C79"/>
    <mergeCell ref="D79:E79"/>
    <mergeCell ref="A106:A108"/>
    <mergeCell ref="B106:C107"/>
    <mergeCell ref="D106:H106"/>
    <mergeCell ref="D107:E107"/>
    <mergeCell ref="F107:H107"/>
    <mergeCell ref="F186:G186"/>
    <mergeCell ref="F162:G162"/>
    <mergeCell ref="A182:G182"/>
    <mergeCell ref="A127:H127"/>
    <mergeCell ref="A140:A141"/>
    <mergeCell ref="D140:D141"/>
    <mergeCell ref="A160:G160"/>
    <mergeCell ref="A161:A163"/>
    <mergeCell ref="B161:D161"/>
    <mergeCell ref="E161:G161"/>
    <mergeCell ref="B162:B163"/>
    <mergeCell ref="C162:D162"/>
    <mergeCell ref="E162:E163"/>
    <mergeCell ref="A4:K4"/>
    <mergeCell ref="A5:C5"/>
    <mergeCell ref="A230:F230"/>
    <mergeCell ref="A206:G206"/>
    <mergeCell ref="D208:I208"/>
    <mergeCell ref="D213:D214"/>
    <mergeCell ref="E213:E214"/>
    <mergeCell ref="F213:F214"/>
    <mergeCell ref="G213:G214"/>
    <mergeCell ref="H213:I213"/>
    <mergeCell ref="A184:G184"/>
    <mergeCell ref="A185:A187"/>
    <mergeCell ref="E185:G185"/>
    <mergeCell ref="B186:B187"/>
    <mergeCell ref="C186:D186"/>
    <mergeCell ref="E186:E187"/>
  </mergeCells>
  <pageMargins left="0" right="0" top="0" bottom="0" header="0.31496062992125984" footer="0.31496062992125984"/>
  <pageSetup paperSize="9" scale="50" fitToHeight="3" orientation="portrait" horizontalDpi="300" verticalDpi="300" r:id="rId1"/>
  <rowBreaks count="1" manualBreakCount="1">
    <brk id="44" max="10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"/>
  <sheetViews>
    <sheetView view="pageBreakPreview" topLeftCell="A36" zoomScaleNormal="100" zoomScaleSheetLayoutView="100" workbookViewId="0">
      <selection activeCell="C60" sqref="C60"/>
    </sheetView>
  </sheetViews>
  <sheetFormatPr defaultRowHeight="15" x14ac:dyDescent="0.25"/>
  <cols>
    <col min="1" max="1" width="19.85546875" customWidth="1"/>
    <col min="2" max="2" width="11.28515625" customWidth="1"/>
    <col min="3" max="3" width="15" customWidth="1"/>
    <col min="6" max="6" width="14.7109375" customWidth="1"/>
    <col min="7" max="7" width="15.28515625" customWidth="1"/>
  </cols>
  <sheetData>
    <row r="1" spans="1:11" s="1" customFormat="1" x14ac:dyDescent="0.25">
      <c r="A1" s="8" t="s">
        <v>230</v>
      </c>
      <c r="B1" s="3"/>
    </row>
    <row r="2" spans="1:11" s="1" customFormat="1" ht="14.25" x14ac:dyDescent="0.2">
      <c r="B2" s="3"/>
    </row>
    <row r="3" spans="1:11" s="1" customFormat="1" x14ac:dyDescent="0.25">
      <c r="A3" s="8" t="s">
        <v>224</v>
      </c>
      <c r="B3" s="3"/>
    </row>
    <row r="4" spans="1:11" s="1" customFormat="1" ht="14.25" x14ac:dyDescent="0.2">
      <c r="B4" s="3"/>
    </row>
    <row r="5" spans="1:11" s="61" customFormat="1" ht="15.75" x14ac:dyDescent="0.2">
      <c r="A5" s="440" t="s">
        <v>218</v>
      </c>
      <c r="B5" s="440"/>
      <c r="C5" s="440"/>
      <c r="D5" s="440"/>
      <c r="E5" s="440"/>
      <c r="F5" s="440"/>
      <c r="G5" s="440"/>
      <c r="H5" s="440"/>
      <c r="I5" s="440"/>
      <c r="J5" s="440"/>
      <c r="K5" s="440"/>
    </row>
    <row r="6" spans="1:11" s="66" customFormat="1" ht="15.75" x14ac:dyDescent="0.2">
      <c r="A6" s="441" t="s">
        <v>45</v>
      </c>
      <c r="B6" s="441"/>
      <c r="C6" s="441"/>
      <c r="D6" s="442"/>
      <c r="E6" s="442"/>
    </row>
    <row r="7" spans="1:11" s="66" customFormat="1" ht="45" x14ac:dyDescent="0.2">
      <c r="A7" s="443"/>
      <c r="B7" s="443" t="s">
        <v>219</v>
      </c>
      <c r="C7" s="69" t="s">
        <v>220</v>
      </c>
      <c r="D7" s="63"/>
      <c r="E7" s="63"/>
      <c r="F7" s="74" t="s">
        <v>225</v>
      </c>
      <c r="G7" s="74" t="s">
        <v>216</v>
      </c>
    </row>
    <row r="8" spans="1:11" s="66" customFormat="1" ht="15.75" x14ac:dyDescent="0.2">
      <c r="A8" s="443"/>
      <c r="B8" s="443"/>
      <c r="C8" s="69" t="s">
        <v>221</v>
      </c>
      <c r="D8" s="64"/>
      <c r="E8" s="64"/>
      <c r="F8" s="75">
        <v>20</v>
      </c>
      <c r="G8" s="75">
        <v>2</v>
      </c>
    </row>
    <row r="9" spans="1:11" s="66" customFormat="1" ht="15.75" x14ac:dyDescent="0.2">
      <c r="A9" s="444" t="s">
        <v>222</v>
      </c>
      <c r="B9" s="444"/>
      <c r="C9" s="444"/>
      <c r="D9" s="64"/>
      <c r="E9" s="64"/>
      <c r="F9" s="75">
        <v>22</v>
      </c>
      <c r="G9" s="75">
        <v>3</v>
      </c>
    </row>
    <row r="10" spans="1:11" s="66" customFormat="1" ht="31.5" x14ac:dyDescent="0.2">
      <c r="A10" s="70" t="s">
        <v>65</v>
      </c>
      <c r="B10" s="71">
        <v>103.5</v>
      </c>
      <c r="C10" s="71">
        <v>103.2</v>
      </c>
      <c r="D10" s="64"/>
      <c r="E10" s="64"/>
      <c r="F10" s="75">
        <v>25</v>
      </c>
      <c r="G10" s="75">
        <v>6</v>
      </c>
    </row>
    <row r="11" spans="1:11" s="66" customFormat="1" ht="15.75" x14ac:dyDescent="0.2">
      <c r="A11" s="72" t="s">
        <v>223</v>
      </c>
      <c r="B11" s="71">
        <v>103</v>
      </c>
      <c r="C11" s="71">
        <v>102.9</v>
      </c>
      <c r="D11" s="64"/>
      <c r="E11" s="64"/>
      <c r="F11" s="75">
        <v>30</v>
      </c>
      <c r="G11" s="75">
        <v>5</v>
      </c>
    </row>
    <row r="12" spans="1:11" s="66" customFormat="1" ht="15.75" x14ac:dyDescent="0.2">
      <c r="A12" s="72" t="s">
        <v>170</v>
      </c>
      <c r="B12" s="71">
        <v>107.1</v>
      </c>
      <c r="C12" s="71">
        <v>107.5</v>
      </c>
      <c r="D12" s="64"/>
      <c r="E12" s="64"/>
      <c r="F12" s="75">
        <v>35</v>
      </c>
      <c r="G12" s="75">
        <v>9</v>
      </c>
    </row>
    <row r="13" spans="1:11" s="66" customFormat="1" ht="15.75" x14ac:dyDescent="0.2">
      <c r="A13" s="72" t="s">
        <v>171</v>
      </c>
      <c r="B13" s="71">
        <v>100.6</v>
      </c>
      <c r="C13" s="71">
        <v>100.3</v>
      </c>
      <c r="D13" s="64"/>
      <c r="E13" s="64"/>
      <c r="F13" s="75">
        <v>38</v>
      </c>
      <c r="G13" s="75">
        <v>10</v>
      </c>
    </row>
    <row r="14" spans="1:11" s="66" customFormat="1" ht="15.75" x14ac:dyDescent="0.2">
      <c r="A14" s="72" t="s">
        <v>174</v>
      </c>
      <c r="B14" s="71">
        <v>102.8</v>
      </c>
      <c r="C14" s="71">
        <v>102.2</v>
      </c>
      <c r="D14" s="64"/>
      <c r="E14" s="64"/>
      <c r="F14" s="75">
        <v>40</v>
      </c>
      <c r="G14" s="75">
        <v>3</v>
      </c>
    </row>
    <row r="15" spans="1:11" s="66" customFormat="1" ht="31.5" x14ac:dyDescent="0.2">
      <c r="A15" s="72" t="s">
        <v>175</v>
      </c>
      <c r="B15" s="71">
        <v>102.6</v>
      </c>
      <c r="C15" s="71">
        <v>102.5</v>
      </c>
      <c r="D15" s="64"/>
      <c r="E15" s="64"/>
      <c r="F15" s="75">
        <v>47</v>
      </c>
      <c r="G15" s="75">
        <v>2</v>
      </c>
    </row>
    <row r="16" spans="1:11" s="66" customFormat="1" ht="15.75" x14ac:dyDescent="0.2">
      <c r="A16" s="72" t="s">
        <v>176</v>
      </c>
      <c r="B16" s="71">
        <v>101.7</v>
      </c>
      <c r="C16" s="71">
        <v>101.2</v>
      </c>
      <c r="D16" s="64"/>
      <c r="E16" s="64"/>
      <c r="F16" s="75">
        <v>50</v>
      </c>
      <c r="G16" s="75">
        <v>1</v>
      </c>
    </row>
    <row r="17" spans="1:8" s="66" customFormat="1" ht="15.75" x14ac:dyDescent="0.2">
      <c r="A17" s="72" t="s">
        <v>179</v>
      </c>
      <c r="B17" s="71">
        <v>102</v>
      </c>
      <c r="C17" s="71">
        <v>102</v>
      </c>
      <c r="D17" s="64"/>
      <c r="E17" s="64"/>
    </row>
    <row r="18" spans="1:8" s="66" customFormat="1" ht="15.75" x14ac:dyDescent="0.2">
      <c r="A18" s="72" t="s">
        <v>182</v>
      </c>
      <c r="B18" s="71">
        <v>101.8</v>
      </c>
      <c r="C18" s="71">
        <v>101.7</v>
      </c>
      <c r="D18" s="64"/>
      <c r="E18" s="64"/>
    </row>
    <row r="19" spans="1:8" s="66" customFormat="1" ht="15.75" x14ac:dyDescent="0.2">
      <c r="A19" s="72" t="s">
        <v>183</v>
      </c>
      <c r="B19" s="71">
        <v>104.1</v>
      </c>
      <c r="C19" s="71">
        <v>102.9</v>
      </c>
      <c r="D19" s="64"/>
      <c r="E19" s="64"/>
    </row>
    <row r="20" spans="1:8" s="66" customFormat="1" ht="15.75" x14ac:dyDescent="0.2">
      <c r="A20" s="72" t="s">
        <v>184</v>
      </c>
      <c r="B20" s="71">
        <v>102.6</v>
      </c>
      <c r="C20" s="71">
        <v>102.6</v>
      </c>
      <c r="D20" s="64"/>
      <c r="E20" s="64"/>
    </row>
    <row r="21" spans="1:8" s="66" customFormat="1" ht="31.5" x14ac:dyDescent="0.2">
      <c r="A21" s="72" t="s">
        <v>185</v>
      </c>
      <c r="B21" s="71">
        <v>103.7</v>
      </c>
      <c r="C21" s="71">
        <v>103.8</v>
      </c>
      <c r="D21" s="64"/>
      <c r="E21" s="64"/>
    </row>
    <row r="22" spans="1:8" s="66" customFormat="1" ht="15.75" x14ac:dyDescent="0.2">
      <c r="A22" s="72" t="s">
        <v>188</v>
      </c>
      <c r="B22" s="71">
        <v>115</v>
      </c>
      <c r="C22" s="71">
        <v>115.6</v>
      </c>
      <c r="D22" s="64"/>
      <c r="E22" s="64"/>
    </row>
    <row r="23" spans="1:8" s="66" customFormat="1" ht="31.5" x14ac:dyDescent="0.2">
      <c r="A23" s="72" t="s">
        <v>189</v>
      </c>
      <c r="B23" s="71">
        <v>103.1</v>
      </c>
      <c r="C23" s="71">
        <v>103.1</v>
      </c>
      <c r="D23" s="64"/>
      <c r="E23" s="64"/>
    </row>
    <row r="24" spans="1:8" s="66" customFormat="1" ht="31.5" x14ac:dyDescent="0.2">
      <c r="A24" s="72" t="s">
        <v>190</v>
      </c>
      <c r="B24" s="71">
        <v>96.2</v>
      </c>
      <c r="C24" s="71">
        <v>95.4</v>
      </c>
      <c r="D24" s="64"/>
      <c r="E24" s="64"/>
    </row>
    <row r="25" spans="1:8" s="66" customFormat="1" ht="15.75" x14ac:dyDescent="0.2">
      <c r="A25" s="72" t="s">
        <v>193</v>
      </c>
      <c r="B25" s="71">
        <v>103.8</v>
      </c>
      <c r="C25" s="71">
        <v>102.8</v>
      </c>
      <c r="D25" s="64"/>
      <c r="E25" s="64"/>
    </row>
    <row r="26" spans="1:8" s="66" customFormat="1" ht="15.75" x14ac:dyDescent="0.2">
      <c r="A26" s="72" t="s">
        <v>206</v>
      </c>
      <c r="B26" s="71">
        <v>105.5</v>
      </c>
      <c r="C26" s="71">
        <v>103.1</v>
      </c>
      <c r="D26" s="64"/>
      <c r="E26" s="64"/>
    </row>
    <row r="27" spans="1:8" s="66" customFormat="1" ht="15.75" x14ac:dyDescent="0.2">
      <c r="A27" s="67"/>
      <c r="B27" s="64"/>
      <c r="C27" s="64"/>
      <c r="D27" s="64"/>
      <c r="E27" s="64"/>
    </row>
    <row r="28" spans="1:8" s="66" customFormat="1" ht="15.75" x14ac:dyDescent="0.2">
      <c r="A28" s="73" t="s">
        <v>226</v>
      </c>
      <c r="B28" s="68"/>
      <c r="C28" s="64"/>
      <c r="D28" s="64"/>
      <c r="E28" s="64"/>
    </row>
    <row r="29" spans="1:8" s="66" customFormat="1" ht="15.75" x14ac:dyDescent="0.2">
      <c r="A29" s="67"/>
      <c r="B29" s="68"/>
      <c r="C29" s="64"/>
      <c r="D29" s="64"/>
      <c r="E29" s="64"/>
    </row>
    <row r="30" spans="1:8" s="1" customFormat="1" x14ac:dyDescent="0.25">
      <c r="A30" s="8" t="s">
        <v>25</v>
      </c>
      <c r="B30" s="3"/>
    </row>
    <row r="31" spans="1:8" s="1" customFormat="1" ht="14.25" x14ac:dyDescent="0.2">
      <c r="B31" s="3"/>
      <c r="H31" s="5"/>
    </row>
    <row r="32" spans="1:8" s="1" customFormat="1" ht="48" customHeight="1" x14ac:dyDescent="0.25">
      <c r="A32" s="418" t="s">
        <v>227</v>
      </c>
      <c r="B32" s="418"/>
      <c r="C32" s="418"/>
      <c r="D32" s="418"/>
      <c r="E32" s="418"/>
      <c r="F32" s="418"/>
    </row>
    <row r="33" spans="1:6" s="61" customFormat="1" ht="14.25" x14ac:dyDescent="0.2">
      <c r="B33" s="62"/>
    </row>
    <row r="34" spans="1:6" s="1" customFormat="1" x14ac:dyDescent="0.25">
      <c r="A34" s="8" t="s">
        <v>229</v>
      </c>
      <c r="B34" s="3"/>
    </row>
    <row r="35" spans="1:6" s="1" customFormat="1" ht="15" customHeight="1" x14ac:dyDescent="0.2">
      <c r="C35" s="437"/>
      <c r="D35" s="437"/>
      <c r="E35" s="438"/>
      <c r="F35" s="438"/>
    </row>
    <row r="36" spans="1:6" s="7" customFormat="1" ht="15" customHeight="1" x14ac:dyDescent="0.2">
      <c r="A36" s="439" t="s">
        <v>228</v>
      </c>
      <c r="B36" s="439" t="s">
        <v>26</v>
      </c>
      <c r="C36" s="77"/>
      <c r="D36" s="77"/>
      <c r="E36" s="77"/>
      <c r="F36" s="77"/>
    </row>
    <row r="37" spans="1:6" s="1" customFormat="1" ht="14.25" x14ac:dyDescent="0.2">
      <c r="A37" s="439"/>
      <c r="B37" s="439"/>
      <c r="C37" s="61"/>
      <c r="D37" s="61"/>
      <c r="E37" s="61"/>
      <c r="F37" s="61"/>
    </row>
    <row r="38" spans="1:6" s="1" customFormat="1" ht="14.25" x14ac:dyDescent="0.2">
      <c r="A38" s="58">
        <v>1</v>
      </c>
      <c r="B38" s="58">
        <v>0.1</v>
      </c>
      <c r="C38" s="61"/>
      <c r="D38" s="61"/>
      <c r="E38" s="61"/>
      <c r="F38" s="61"/>
    </row>
    <row r="39" spans="1:6" s="1" customFormat="1" ht="14.25" x14ac:dyDescent="0.2">
      <c r="A39" s="58">
        <v>2</v>
      </c>
      <c r="B39" s="58">
        <v>0.15</v>
      </c>
      <c r="C39" s="61"/>
      <c r="D39" s="61"/>
      <c r="E39" s="61"/>
      <c r="F39" s="61"/>
    </row>
    <row r="40" spans="1:6" s="1" customFormat="1" ht="14.25" x14ac:dyDescent="0.2">
      <c r="A40" s="58">
        <v>3</v>
      </c>
      <c r="B40" s="58">
        <v>0.08</v>
      </c>
      <c r="C40" s="61"/>
      <c r="D40" s="61"/>
      <c r="E40" s="61"/>
      <c r="F40" s="61"/>
    </row>
    <row r="41" spans="1:6" s="1" customFormat="1" ht="14.25" x14ac:dyDescent="0.2">
      <c r="A41" s="58">
        <v>4</v>
      </c>
      <c r="B41" s="58">
        <v>0.12</v>
      </c>
      <c r="C41" s="61"/>
      <c r="D41" s="61"/>
      <c r="E41" s="61"/>
      <c r="F41" s="61"/>
    </row>
    <row r="42" spans="1:6" s="1" customFormat="1" ht="14.25" x14ac:dyDescent="0.2">
      <c r="A42" s="58">
        <v>5</v>
      </c>
      <c r="B42" s="58">
        <v>0.18</v>
      </c>
    </row>
    <row r="43" spans="1:6" s="1" customFormat="1" ht="14.25" x14ac:dyDescent="0.2">
      <c r="A43" s="58">
        <v>6</v>
      </c>
      <c r="B43" s="58">
        <v>0.2</v>
      </c>
    </row>
    <row r="44" spans="1:6" s="1" customFormat="1" ht="14.25" x14ac:dyDescent="0.2">
      <c r="A44" s="58">
        <v>7</v>
      </c>
      <c r="B44" s="58">
        <v>0.14000000000000001</v>
      </c>
    </row>
    <row r="45" spans="1:6" s="1" customFormat="1" ht="14.25" x14ac:dyDescent="0.2">
      <c r="A45" s="58">
        <v>8</v>
      </c>
      <c r="B45" s="58">
        <v>0.13</v>
      </c>
    </row>
    <row r="46" spans="1:6" s="1" customFormat="1" ht="14.25" x14ac:dyDescent="0.2">
      <c r="A46" s="58">
        <v>9</v>
      </c>
      <c r="B46" s="58">
        <v>0.25</v>
      </c>
    </row>
    <row r="47" spans="1:6" s="1" customFormat="1" ht="14.25" x14ac:dyDescent="0.2">
      <c r="A47" s="58">
        <v>10</v>
      </c>
      <c r="B47" s="58">
        <v>0.28000000000000003</v>
      </c>
    </row>
    <row r="48" spans="1:6" s="1" customFormat="1" ht="14.25" x14ac:dyDescent="0.2">
      <c r="A48" s="58">
        <v>11</v>
      </c>
      <c r="B48" s="58">
        <v>0.28999999999999998</v>
      </c>
    </row>
    <row r="49" spans="1:2" s="1" customFormat="1" ht="14.25" x14ac:dyDescent="0.2">
      <c r="A49" s="58">
        <v>12</v>
      </c>
      <c r="B49" s="58">
        <v>0.3</v>
      </c>
    </row>
    <row r="50" spans="1:2" s="1" customFormat="1" ht="14.25" x14ac:dyDescent="0.2">
      <c r="A50" s="58">
        <v>13</v>
      </c>
      <c r="B50" s="58">
        <v>0.22</v>
      </c>
    </row>
    <row r="51" spans="1:2" s="1" customFormat="1" ht="14.25" x14ac:dyDescent="0.2">
      <c r="A51" s="58">
        <v>14</v>
      </c>
      <c r="B51" s="58">
        <v>0.3</v>
      </c>
    </row>
    <row r="52" spans="1:2" s="1" customFormat="1" ht="14.25" x14ac:dyDescent="0.2">
      <c r="A52" s="58">
        <v>15</v>
      </c>
      <c r="B52" s="58">
        <v>0.4</v>
      </c>
    </row>
    <row r="53" spans="1:2" s="1" customFormat="1" ht="14.25" x14ac:dyDescent="0.2">
      <c r="A53" s="58">
        <v>16</v>
      </c>
      <c r="B53" s="58">
        <v>0.5</v>
      </c>
    </row>
    <row r="54" spans="1:2" s="1" customFormat="1" ht="14.25" x14ac:dyDescent="0.2">
      <c r="A54" s="62"/>
      <c r="B54" s="62"/>
    </row>
    <row r="55" spans="1:2" s="1" customFormat="1" x14ac:dyDescent="0.25">
      <c r="A55" s="8" t="s">
        <v>231</v>
      </c>
      <c r="B55" s="3"/>
    </row>
    <row r="56" spans="1:2" s="1" customFormat="1" ht="14.25" x14ac:dyDescent="0.2">
      <c r="B56" s="3"/>
    </row>
  </sheetData>
  <mergeCells count="11">
    <mergeCell ref="C35:D35"/>
    <mergeCell ref="E35:F35"/>
    <mergeCell ref="A36:A37"/>
    <mergeCell ref="B36:B37"/>
    <mergeCell ref="A5:K5"/>
    <mergeCell ref="A6:C6"/>
    <mergeCell ref="D6:E6"/>
    <mergeCell ref="A7:A8"/>
    <mergeCell ref="B7:B8"/>
    <mergeCell ref="A9:C9"/>
    <mergeCell ref="A32:F32"/>
  </mergeCells>
  <pageMargins left="0.31496062992125984" right="0.11811023622047245" top="0.35433070866141736" bottom="0.35433070866141736" header="0.31496062992125984" footer="0.31496062992125984"/>
  <pageSetup paperSize="9" scale="7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view="pageBreakPreview" zoomScale="60" zoomScaleNormal="100" workbookViewId="0">
      <selection activeCell="A11" sqref="A11"/>
    </sheetView>
  </sheetViews>
  <sheetFormatPr defaultRowHeight="15" x14ac:dyDescent="0.25"/>
  <sheetData>
    <row r="1" spans="1:1" x14ac:dyDescent="0.25">
      <c r="A1" t="s">
        <v>232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</sheetData>
  <pageMargins left="0.31496062992125984" right="0.31496062992125984" top="0.35433070866141736" bottom="0.35433070866141736" header="0.31496062992125984" footer="0.31496062992125984"/>
  <pageSetup paperSize="9" scale="75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5"/>
  <sheetViews>
    <sheetView topLeftCell="A147" workbookViewId="0">
      <selection activeCell="A158" sqref="A158:L175"/>
    </sheetView>
  </sheetViews>
  <sheetFormatPr defaultRowHeight="15" x14ac:dyDescent="0.25"/>
  <cols>
    <col min="1" max="1" width="19.5703125" customWidth="1"/>
    <col min="2" max="2" width="21.85546875" customWidth="1"/>
    <col min="3" max="3" width="17.5703125" customWidth="1"/>
    <col min="4" max="4" width="14.28515625" customWidth="1"/>
    <col min="5" max="5" width="11" customWidth="1"/>
    <col min="6" max="6" width="16.5703125" customWidth="1"/>
    <col min="7" max="7" width="15.140625" customWidth="1"/>
    <col min="8" max="8" width="10.28515625" customWidth="1"/>
  </cols>
  <sheetData>
    <row r="1" spans="1:6" x14ac:dyDescent="0.25">
      <c r="A1" s="141" t="s">
        <v>309</v>
      </c>
    </row>
    <row r="3" spans="1:6" x14ac:dyDescent="0.25">
      <c r="A3" s="141" t="s">
        <v>310</v>
      </c>
    </row>
    <row r="4" spans="1:6" s="126" customFormat="1" ht="45.75" customHeight="1" x14ac:dyDescent="0.25">
      <c r="A4" s="125" t="s">
        <v>225</v>
      </c>
      <c r="B4" s="125" t="s">
        <v>216</v>
      </c>
      <c r="D4" s="445" t="s">
        <v>311</v>
      </c>
      <c r="E4" s="445"/>
      <c r="F4" s="125" t="s">
        <v>312</v>
      </c>
    </row>
    <row r="5" spans="1:6" x14ac:dyDescent="0.25">
      <c r="A5" s="129">
        <v>20</v>
      </c>
      <c r="B5" s="129">
        <v>2</v>
      </c>
      <c r="D5" s="129">
        <v>1</v>
      </c>
      <c r="E5" s="129">
        <v>3</v>
      </c>
      <c r="F5" s="129">
        <v>2</v>
      </c>
    </row>
    <row r="6" spans="1:6" x14ac:dyDescent="0.25">
      <c r="A6" s="129">
        <v>22</v>
      </c>
      <c r="B6" s="129">
        <v>3</v>
      </c>
      <c r="D6" s="129">
        <v>3</v>
      </c>
      <c r="E6" s="129">
        <v>5</v>
      </c>
      <c r="F6" s="129">
        <v>4</v>
      </c>
    </row>
    <row r="7" spans="1:6" x14ac:dyDescent="0.25">
      <c r="A7" s="129">
        <v>25</v>
      </c>
      <c r="B7" s="129">
        <v>6</v>
      </c>
      <c r="D7" s="129">
        <v>5</v>
      </c>
      <c r="E7" s="129">
        <v>7</v>
      </c>
      <c r="F7" s="129">
        <v>5</v>
      </c>
    </row>
    <row r="8" spans="1:6" x14ac:dyDescent="0.25">
      <c r="A8" s="129">
        <v>30</v>
      </c>
      <c r="B8" s="129">
        <v>5</v>
      </c>
      <c r="D8" s="129">
        <v>7</v>
      </c>
      <c r="E8" s="129">
        <v>9</v>
      </c>
      <c r="F8" s="129">
        <v>6</v>
      </c>
    </row>
    <row r="9" spans="1:6" x14ac:dyDescent="0.25">
      <c r="A9" s="129">
        <v>35</v>
      </c>
      <c r="B9" s="129">
        <v>9</v>
      </c>
      <c r="D9" s="129">
        <v>9</v>
      </c>
      <c r="E9" s="129">
        <v>11</v>
      </c>
      <c r="F9" s="129">
        <v>7</v>
      </c>
    </row>
    <row r="10" spans="1:6" x14ac:dyDescent="0.25">
      <c r="A10" s="129">
        <v>38</v>
      </c>
      <c r="B10" s="129">
        <v>10</v>
      </c>
      <c r="D10" s="129">
        <v>11</v>
      </c>
      <c r="E10" s="129">
        <v>13</v>
      </c>
      <c r="F10" s="129">
        <v>10</v>
      </c>
    </row>
    <row r="11" spans="1:6" x14ac:dyDescent="0.25">
      <c r="A11" s="129">
        <v>40</v>
      </c>
      <c r="B11" s="129">
        <v>3</v>
      </c>
      <c r="D11" s="129">
        <v>13</v>
      </c>
      <c r="E11" s="129">
        <v>15</v>
      </c>
      <c r="F11" s="129">
        <v>8</v>
      </c>
    </row>
    <row r="12" spans="1:6" x14ac:dyDescent="0.25">
      <c r="A12" s="129">
        <v>47</v>
      </c>
      <c r="B12" s="129">
        <v>2</v>
      </c>
      <c r="D12" s="129">
        <v>15</v>
      </c>
      <c r="E12" s="129">
        <v>17</v>
      </c>
      <c r="F12" s="129">
        <v>10</v>
      </c>
    </row>
    <row r="13" spans="1:6" x14ac:dyDescent="0.25">
      <c r="A13" s="129">
        <v>50</v>
      </c>
      <c r="B13" s="129">
        <v>1</v>
      </c>
      <c r="D13" s="129">
        <v>17</v>
      </c>
      <c r="E13" s="129">
        <v>19</v>
      </c>
      <c r="F13" s="129">
        <v>6</v>
      </c>
    </row>
    <row r="14" spans="1:6" x14ac:dyDescent="0.25">
      <c r="D14" s="129">
        <v>19</v>
      </c>
      <c r="E14" s="129">
        <v>21</v>
      </c>
      <c r="F14" s="129">
        <v>4</v>
      </c>
    </row>
    <row r="15" spans="1:6" x14ac:dyDescent="0.25">
      <c r="D15" s="129">
        <v>21</v>
      </c>
      <c r="E15" s="129">
        <v>23</v>
      </c>
      <c r="F15" s="129">
        <v>2</v>
      </c>
    </row>
    <row r="16" spans="1:6" x14ac:dyDescent="0.25">
      <c r="D16" s="129">
        <v>23</v>
      </c>
      <c r="E16" s="129">
        <v>25</v>
      </c>
      <c r="F16" s="129">
        <v>2</v>
      </c>
    </row>
    <row r="18" spans="1:7" x14ac:dyDescent="0.25">
      <c r="A18" s="141" t="s">
        <v>313</v>
      </c>
    </row>
    <row r="19" spans="1:7" x14ac:dyDescent="0.25">
      <c r="A19" s="141" t="s">
        <v>314</v>
      </c>
    </row>
    <row r="20" spans="1:7" x14ac:dyDescent="0.25">
      <c r="A20" s="141" t="s">
        <v>319</v>
      </c>
    </row>
    <row r="21" spans="1:7" x14ac:dyDescent="0.25">
      <c r="A21" s="141"/>
    </row>
    <row r="22" spans="1:7" s="115" customFormat="1" ht="85.5" x14ac:dyDescent="0.25">
      <c r="A22" s="170"/>
      <c r="B22" s="4" t="s">
        <v>317</v>
      </c>
      <c r="C22" s="4" t="s">
        <v>318</v>
      </c>
    </row>
    <row r="23" spans="1:7" x14ac:dyDescent="0.25">
      <c r="A23" s="171" t="s">
        <v>169</v>
      </c>
      <c r="B23" s="172">
        <v>100.3</v>
      </c>
      <c r="C23" s="173">
        <v>22635</v>
      </c>
      <c r="D23" s="15"/>
      <c r="F23" s="167"/>
      <c r="G23" s="15"/>
    </row>
    <row r="24" spans="1:7" x14ac:dyDescent="0.25">
      <c r="A24" s="171" t="s">
        <v>170</v>
      </c>
      <c r="B24" s="172">
        <v>100.2</v>
      </c>
      <c r="C24" s="173">
        <v>22767</v>
      </c>
      <c r="D24" s="167"/>
      <c r="F24" s="167"/>
      <c r="G24" s="15"/>
    </row>
    <row r="25" spans="1:7" x14ac:dyDescent="0.25">
      <c r="A25" s="171" t="s">
        <v>171</v>
      </c>
      <c r="B25" s="172">
        <v>99.8</v>
      </c>
      <c r="C25" s="173">
        <v>24969</v>
      </c>
      <c r="D25" s="167"/>
      <c r="F25" s="167"/>
      <c r="G25" s="15"/>
    </row>
    <row r="26" spans="1:7" x14ac:dyDescent="0.25">
      <c r="A26" s="171" t="s">
        <v>174</v>
      </c>
      <c r="B26" s="172">
        <v>100.6</v>
      </c>
      <c r="C26" s="173">
        <v>24979</v>
      </c>
      <c r="D26" s="167"/>
      <c r="F26" s="167"/>
      <c r="G26" s="15"/>
    </row>
    <row r="27" spans="1:7" ht="25.5" x14ac:dyDescent="0.25">
      <c r="A27" s="171" t="s">
        <v>175</v>
      </c>
      <c r="B27" s="172">
        <v>100.3</v>
      </c>
      <c r="C27" s="173">
        <v>22553</v>
      </c>
      <c r="D27" s="15"/>
      <c r="F27" s="167"/>
      <c r="G27" s="15"/>
    </row>
    <row r="28" spans="1:7" x14ac:dyDescent="0.25">
      <c r="A28" s="171" t="s">
        <v>176</v>
      </c>
      <c r="B28" s="172">
        <v>100.5</v>
      </c>
      <c r="C28" s="173">
        <v>21668</v>
      </c>
      <c r="D28" s="167"/>
      <c r="F28" s="167"/>
      <c r="G28" s="15"/>
    </row>
    <row r="29" spans="1:7" x14ac:dyDescent="0.25">
      <c r="A29" s="171" t="s">
        <v>179</v>
      </c>
      <c r="B29" s="172">
        <v>99.7</v>
      </c>
      <c r="C29" s="173">
        <v>23436</v>
      </c>
      <c r="D29" s="167"/>
      <c r="F29" s="167"/>
      <c r="G29" s="15"/>
    </row>
    <row r="30" spans="1:7" x14ac:dyDescent="0.25">
      <c r="A30" s="171" t="s">
        <v>182</v>
      </c>
      <c r="B30" s="172">
        <v>100</v>
      </c>
      <c r="C30" s="173">
        <v>23021</v>
      </c>
      <c r="D30" s="15"/>
      <c r="F30" s="167"/>
      <c r="G30" s="15"/>
    </row>
    <row r="31" spans="1:7" x14ac:dyDescent="0.25">
      <c r="A31" s="171" t="s">
        <v>183</v>
      </c>
      <c r="B31" s="172">
        <v>100</v>
      </c>
      <c r="C31" s="173">
        <v>21975</v>
      </c>
      <c r="D31" s="15"/>
      <c r="F31" s="167"/>
      <c r="G31" s="15"/>
    </row>
    <row r="32" spans="1:7" x14ac:dyDescent="0.25">
      <c r="A32" s="171" t="s">
        <v>184</v>
      </c>
      <c r="B32" s="172">
        <v>100.6</v>
      </c>
      <c r="C32" s="173">
        <v>29150</v>
      </c>
      <c r="D32" s="167"/>
      <c r="F32" s="167"/>
      <c r="G32" s="15"/>
    </row>
    <row r="33" spans="1:8" x14ac:dyDescent="0.25">
      <c r="A33" s="171" t="s">
        <v>185</v>
      </c>
      <c r="B33" s="172">
        <v>99.8</v>
      </c>
      <c r="C33" s="173">
        <v>22539</v>
      </c>
      <c r="D33" s="167"/>
      <c r="F33" s="167"/>
      <c r="G33" s="15"/>
    </row>
    <row r="34" spans="1:8" x14ac:dyDescent="0.25">
      <c r="A34" s="171" t="s">
        <v>188</v>
      </c>
      <c r="B34" s="172">
        <v>100.2</v>
      </c>
      <c r="C34" s="173">
        <v>23046</v>
      </c>
      <c r="D34" s="167"/>
      <c r="F34" s="167"/>
      <c r="G34" s="15"/>
    </row>
    <row r="35" spans="1:8" ht="25.5" x14ac:dyDescent="0.25">
      <c r="A35" s="171" t="s">
        <v>189</v>
      </c>
      <c r="B35" s="172">
        <v>100.3</v>
      </c>
      <c r="C35" s="173">
        <v>22737</v>
      </c>
      <c r="D35" s="15"/>
      <c r="F35" s="167"/>
      <c r="G35" s="15"/>
    </row>
    <row r="36" spans="1:8" ht="25.5" x14ac:dyDescent="0.25">
      <c r="A36" s="171" t="s">
        <v>190</v>
      </c>
      <c r="B36" s="172">
        <v>100.2</v>
      </c>
      <c r="C36" s="173">
        <v>25346</v>
      </c>
      <c r="D36" s="167"/>
      <c r="F36" s="167"/>
      <c r="G36" s="15"/>
    </row>
    <row r="37" spans="1:8" x14ac:dyDescent="0.25">
      <c r="A37" s="171" t="s">
        <v>315</v>
      </c>
      <c r="B37" s="172">
        <v>100.4</v>
      </c>
      <c r="C37" s="173">
        <v>28525</v>
      </c>
      <c r="D37" s="167"/>
      <c r="F37" s="167"/>
      <c r="G37" s="15"/>
    </row>
    <row r="38" spans="1:8" x14ac:dyDescent="0.25">
      <c r="A38" s="171" t="s">
        <v>316</v>
      </c>
      <c r="B38" s="172">
        <v>100</v>
      </c>
      <c r="C38" s="173">
        <v>27135</v>
      </c>
      <c r="D38" s="168"/>
      <c r="E38" s="65"/>
      <c r="F38" s="168"/>
      <c r="G38" s="169"/>
      <c r="H38" s="65"/>
    </row>
    <row r="39" spans="1:8" x14ac:dyDescent="0.25">
      <c r="A39" s="141"/>
    </row>
    <row r="40" spans="1:8" x14ac:dyDescent="0.25">
      <c r="A40" s="141" t="s">
        <v>320</v>
      </c>
    </row>
    <row r="42" spans="1:8" s="115" customFormat="1" ht="71.25" x14ac:dyDescent="0.25">
      <c r="A42" s="4" t="s">
        <v>263</v>
      </c>
      <c r="B42" s="4" t="s">
        <v>276</v>
      </c>
      <c r="C42" s="4" t="s">
        <v>277</v>
      </c>
    </row>
    <row r="43" spans="1:8" x14ac:dyDescent="0.25">
      <c r="A43" s="118" t="s">
        <v>184</v>
      </c>
      <c r="B43" s="119">
        <v>3.9</v>
      </c>
      <c r="C43" s="119">
        <v>1.3</v>
      </c>
      <c r="D43">
        <v>1</v>
      </c>
    </row>
    <row r="44" spans="1:8" x14ac:dyDescent="0.25">
      <c r="A44" s="118" t="s">
        <v>174</v>
      </c>
      <c r="B44" s="119">
        <v>30.3</v>
      </c>
      <c r="C44" s="119">
        <v>4.5</v>
      </c>
      <c r="D44">
        <v>2</v>
      </c>
    </row>
    <row r="45" spans="1:8" ht="28.5" customHeight="1" x14ac:dyDescent="0.25">
      <c r="A45" s="118" t="s">
        <v>189</v>
      </c>
      <c r="B45" s="119">
        <v>31.9</v>
      </c>
      <c r="C45" s="119">
        <v>58.4</v>
      </c>
      <c r="D45">
        <v>3</v>
      </c>
    </row>
    <row r="46" spans="1:8" x14ac:dyDescent="0.25">
      <c r="A46" s="118" t="s">
        <v>223</v>
      </c>
      <c r="B46" s="119">
        <v>37.6</v>
      </c>
      <c r="C46" s="119">
        <v>10.8</v>
      </c>
      <c r="D46">
        <v>4</v>
      </c>
      <c r="E46">
        <v>1</v>
      </c>
    </row>
    <row r="47" spans="1:8" ht="34.5" customHeight="1" x14ac:dyDescent="0.25">
      <c r="A47" s="118" t="s">
        <v>185</v>
      </c>
      <c r="B47" s="119">
        <v>38.4</v>
      </c>
      <c r="C47" s="119">
        <v>13</v>
      </c>
      <c r="D47">
        <v>5</v>
      </c>
      <c r="E47">
        <v>1</v>
      </c>
    </row>
    <row r="48" spans="1:8" x14ac:dyDescent="0.25">
      <c r="A48" s="118" t="s">
        <v>182</v>
      </c>
      <c r="B48" s="119">
        <v>42.4</v>
      </c>
      <c r="C48" s="119">
        <v>24.3</v>
      </c>
      <c r="D48">
        <v>6</v>
      </c>
      <c r="E48">
        <v>1</v>
      </c>
    </row>
    <row r="49" spans="1:9" x14ac:dyDescent="0.25">
      <c r="A49" s="116" t="s">
        <v>183</v>
      </c>
      <c r="B49" s="2">
        <v>53.8</v>
      </c>
      <c r="C49" s="2">
        <v>3.7</v>
      </c>
      <c r="D49">
        <v>7</v>
      </c>
    </row>
    <row r="50" spans="1:9" x14ac:dyDescent="0.25">
      <c r="A50" s="116" t="s">
        <v>176</v>
      </c>
      <c r="B50" s="2">
        <v>62.9</v>
      </c>
      <c r="C50" s="2">
        <v>33.4</v>
      </c>
      <c r="D50">
        <v>8</v>
      </c>
    </row>
    <row r="51" spans="1:9" x14ac:dyDescent="0.25">
      <c r="A51" s="116" t="s">
        <v>188</v>
      </c>
      <c r="B51" s="2">
        <v>78</v>
      </c>
      <c r="C51" s="2">
        <v>42.2</v>
      </c>
      <c r="D51">
        <v>9</v>
      </c>
    </row>
    <row r="52" spans="1:9" ht="19.5" customHeight="1" x14ac:dyDescent="0.25">
      <c r="A52" s="116" t="s">
        <v>170</v>
      </c>
      <c r="B52" s="2">
        <v>84.4</v>
      </c>
      <c r="C52" s="2">
        <v>22.6</v>
      </c>
      <c r="D52">
        <v>10</v>
      </c>
    </row>
    <row r="53" spans="1:9" x14ac:dyDescent="0.25">
      <c r="A53" s="120" t="s">
        <v>179</v>
      </c>
      <c r="B53" s="121">
        <v>146.6</v>
      </c>
      <c r="C53" s="121">
        <v>127.8</v>
      </c>
      <c r="D53">
        <v>11</v>
      </c>
    </row>
    <row r="54" spans="1:9" ht="30.75" customHeight="1" x14ac:dyDescent="0.25">
      <c r="A54" s="120" t="s">
        <v>175</v>
      </c>
      <c r="B54" s="121">
        <v>151.19999999999999</v>
      </c>
      <c r="C54" s="121">
        <v>36.700000000000003</v>
      </c>
      <c r="D54">
        <v>12</v>
      </c>
    </row>
    <row r="55" spans="1:9" x14ac:dyDescent="0.25">
      <c r="A55" s="122" t="s">
        <v>171</v>
      </c>
      <c r="B55" s="123">
        <v>184.4</v>
      </c>
      <c r="C55" s="123">
        <v>80.900000000000006</v>
      </c>
      <c r="D55">
        <v>13</v>
      </c>
    </row>
    <row r="56" spans="1:9" ht="28.5" x14ac:dyDescent="0.25">
      <c r="A56" s="122" t="s">
        <v>190</v>
      </c>
      <c r="B56" s="123">
        <v>224</v>
      </c>
      <c r="C56" s="123">
        <v>156.69999999999999</v>
      </c>
      <c r="D56">
        <v>14</v>
      </c>
    </row>
    <row r="58" spans="1:9" ht="31.5" customHeight="1" x14ac:dyDescent="0.25">
      <c r="A58" s="447" t="s">
        <v>321</v>
      </c>
      <c r="B58" s="447"/>
      <c r="C58" s="447"/>
      <c r="D58" s="447"/>
    </row>
    <row r="59" spans="1:9" x14ac:dyDescent="0.25">
      <c r="A59" t="s">
        <v>208</v>
      </c>
      <c r="B59">
        <v>14</v>
      </c>
    </row>
    <row r="60" spans="1:9" x14ac:dyDescent="0.25">
      <c r="A60" t="s">
        <v>264</v>
      </c>
      <c r="B60">
        <f>1+3.322*LOG10(14)</f>
        <v>4.8074373345231063</v>
      </c>
      <c r="E60" t="s">
        <v>274</v>
      </c>
      <c r="H60">
        <v>14</v>
      </c>
    </row>
    <row r="61" spans="1:9" x14ac:dyDescent="0.25">
      <c r="A61" t="s">
        <v>265</v>
      </c>
      <c r="B61">
        <f>B56</f>
        <v>224</v>
      </c>
      <c r="E61" s="124">
        <v>0.2</v>
      </c>
      <c r="H61">
        <f>0.2*H60</f>
        <v>2.8000000000000003</v>
      </c>
      <c r="I61" t="s">
        <v>275</v>
      </c>
    </row>
    <row r="62" spans="1:9" x14ac:dyDescent="0.25">
      <c r="A62" t="s">
        <v>266</v>
      </c>
      <c r="B62">
        <f>B43</f>
        <v>3.9</v>
      </c>
    </row>
    <row r="63" spans="1:9" x14ac:dyDescent="0.25">
      <c r="A63" t="s">
        <v>6</v>
      </c>
      <c r="B63">
        <f>(B61-B62)/5</f>
        <v>44.019999999999996</v>
      </c>
      <c r="C63" t="s">
        <v>267</v>
      </c>
    </row>
    <row r="65" spans="1:14" x14ac:dyDescent="0.25">
      <c r="A65" t="s">
        <v>268</v>
      </c>
    </row>
    <row r="66" spans="1:14" ht="32.25" customHeight="1" x14ac:dyDescent="0.25">
      <c r="A66" s="448" t="s">
        <v>272</v>
      </c>
      <c r="B66" s="448"/>
      <c r="C66" s="448"/>
      <c r="D66" s="448"/>
      <c r="E66" s="448" t="s">
        <v>273</v>
      </c>
      <c r="F66" s="448"/>
      <c r="G66" s="448"/>
      <c r="H66" s="445" t="s">
        <v>278</v>
      </c>
      <c r="I66" s="445"/>
      <c r="J66" s="445"/>
      <c r="K66" s="445"/>
      <c r="L66" t="s">
        <v>308</v>
      </c>
    </row>
    <row r="67" spans="1:14" s="78" customFormat="1" ht="33.75" customHeight="1" x14ac:dyDescent="0.25">
      <c r="A67" s="445" t="s">
        <v>269</v>
      </c>
      <c r="B67" s="445" t="s">
        <v>270</v>
      </c>
      <c r="C67" s="445"/>
      <c r="D67" s="445" t="s">
        <v>271</v>
      </c>
      <c r="E67" s="445" t="s">
        <v>270</v>
      </c>
      <c r="F67" s="445"/>
      <c r="G67" s="445" t="s">
        <v>271</v>
      </c>
      <c r="H67" s="445" t="s">
        <v>279</v>
      </c>
      <c r="I67" s="445" t="s">
        <v>280</v>
      </c>
      <c r="J67" s="445" t="s">
        <v>281</v>
      </c>
      <c r="K67" s="445" t="s">
        <v>282</v>
      </c>
    </row>
    <row r="68" spans="1:14" s="13" customFormat="1" ht="27" customHeight="1" x14ac:dyDescent="0.25">
      <c r="A68" s="445"/>
      <c r="B68" s="114" t="s">
        <v>209</v>
      </c>
      <c r="C68" s="114" t="s">
        <v>210</v>
      </c>
      <c r="D68" s="445"/>
      <c r="E68" s="114" t="s">
        <v>209</v>
      </c>
      <c r="F68" s="114" t="s">
        <v>210</v>
      </c>
      <c r="G68" s="445"/>
      <c r="H68" s="445"/>
      <c r="I68" s="445"/>
      <c r="J68" s="445"/>
      <c r="K68" s="445"/>
    </row>
    <row r="69" spans="1:14" s="117" customFormat="1" x14ac:dyDescent="0.25">
      <c r="A69" s="128">
        <v>1</v>
      </c>
      <c r="B69" s="128">
        <f>B62</f>
        <v>3.9</v>
      </c>
      <c r="C69" s="128">
        <f>B69+B63</f>
        <v>47.919999999999995</v>
      </c>
      <c r="D69" s="129">
        <v>6</v>
      </c>
      <c r="E69" s="129">
        <f>B43</f>
        <v>3.9</v>
      </c>
      <c r="F69" s="129">
        <f>B44</f>
        <v>30.3</v>
      </c>
      <c r="G69" s="129">
        <v>2</v>
      </c>
      <c r="H69" s="129">
        <f>(C43+C44)/2</f>
        <v>2.9</v>
      </c>
      <c r="I69" s="129">
        <f>((C43-H69)^2+(C44-H69)^2)/G69</f>
        <v>2.56</v>
      </c>
      <c r="J69" s="129">
        <f>AVERAGE(I69:I75)</f>
        <v>632.67107142857117</v>
      </c>
      <c r="K69" s="129">
        <f>((H69-H76)^2+(H70-H76)^2+(H71-H76)^2+(H72-H76)^2+(H73-H76)^2+(H74-H76)^2+(H75-H76)^2)/7</f>
        <v>1465.7934693877546</v>
      </c>
      <c r="L69" s="117">
        <f>J69+K69</f>
        <v>2098.464540816326</v>
      </c>
      <c r="M69" s="117">
        <f>J69/L69</f>
        <v>0.30149238127343103</v>
      </c>
      <c r="N69" s="117">
        <f>1-M69</f>
        <v>0.69850761872656897</v>
      </c>
    </row>
    <row r="70" spans="1:14" s="117" customFormat="1" x14ac:dyDescent="0.25">
      <c r="A70" s="129">
        <v>2</v>
      </c>
      <c r="B70" s="129">
        <f>C69</f>
        <v>47.919999999999995</v>
      </c>
      <c r="C70" s="129">
        <f>B70+B63</f>
        <v>91.94</v>
      </c>
      <c r="D70" s="129">
        <v>4</v>
      </c>
      <c r="E70" s="129">
        <f>B45</f>
        <v>31.9</v>
      </c>
      <c r="F70" s="129">
        <f>B46</f>
        <v>37.6</v>
      </c>
      <c r="G70" s="129">
        <v>2</v>
      </c>
      <c r="H70" s="129">
        <f>(C45+C46)/2</f>
        <v>34.6</v>
      </c>
      <c r="I70" s="129">
        <f>((C45-H70)^2+(C46-H70)^2)/G70</f>
        <v>566.43999999999994</v>
      </c>
      <c r="J70" s="129"/>
      <c r="K70" s="129"/>
    </row>
    <row r="71" spans="1:14" s="117" customFormat="1" x14ac:dyDescent="0.25">
      <c r="A71" s="130">
        <v>3</v>
      </c>
      <c r="B71" s="130">
        <f>C70</f>
        <v>91.94</v>
      </c>
      <c r="C71" s="130">
        <f>B71+B63</f>
        <v>135.95999999999998</v>
      </c>
      <c r="D71" s="129">
        <v>0</v>
      </c>
      <c r="E71" s="129">
        <f>B47</f>
        <v>38.4</v>
      </c>
      <c r="F71" s="129">
        <f>B48</f>
        <v>42.4</v>
      </c>
      <c r="G71" s="129">
        <v>2</v>
      </c>
      <c r="H71" s="129">
        <f>(C47+C48)/2</f>
        <v>18.649999999999999</v>
      </c>
      <c r="I71" s="129">
        <f>((C47-H71)^2+(C48-H71)^2)/G71</f>
        <v>31.922500000000007</v>
      </c>
      <c r="J71" s="129"/>
      <c r="K71" s="129"/>
    </row>
    <row r="72" spans="1:14" s="117" customFormat="1" x14ac:dyDescent="0.25">
      <c r="A72" s="131">
        <v>4</v>
      </c>
      <c r="B72" s="131">
        <f>C71</f>
        <v>135.95999999999998</v>
      </c>
      <c r="C72" s="131">
        <f>B72+B63</f>
        <v>179.97999999999996</v>
      </c>
      <c r="D72" s="129">
        <v>2</v>
      </c>
      <c r="E72" s="129">
        <f>B49</f>
        <v>53.8</v>
      </c>
      <c r="F72" s="129">
        <f>B50</f>
        <v>62.9</v>
      </c>
      <c r="G72" s="129">
        <v>2</v>
      </c>
      <c r="H72" s="129">
        <f>(C49+C50)/2</f>
        <v>18.55</v>
      </c>
      <c r="I72" s="129">
        <f>((C49-H72)^2+(C50-H72)^2)/G72</f>
        <v>220.52249999999998</v>
      </c>
      <c r="J72" s="129"/>
      <c r="K72" s="129"/>
    </row>
    <row r="73" spans="1:14" s="117" customFormat="1" x14ac:dyDescent="0.25">
      <c r="A73" s="132">
        <v>5</v>
      </c>
      <c r="B73" s="132">
        <f>C72</f>
        <v>179.97999999999996</v>
      </c>
      <c r="C73" s="132">
        <f>B73+B63</f>
        <v>223.99999999999994</v>
      </c>
      <c r="D73" s="129">
        <v>2</v>
      </c>
      <c r="E73" s="129">
        <f>B51</f>
        <v>78</v>
      </c>
      <c r="F73" s="129">
        <f>B52</f>
        <v>84.4</v>
      </c>
      <c r="G73" s="129">
        <v>2</v>
      </c>
      <c r="H73" s="129">
        <f>(C51+C52)/2</f>
        <v>32.400000000000006</v>
      </c>
      <c r="I73" s="129">
        <f>((C51-H73)^2+(C52-H73)^2)/G73</f>
        <v>96.04000000000002</v>
      </c>
      <c r="J73" s="129"/>
      <c r="K73" s="129"/>
    </row>
    <row r="74" spans="1:14" x14ac:dyDescent="0.25">
      <c r="A74" s="133"/>
      <c r="B74" s="133"/>
      <c r="C74" s="133"/>
      <c r="D74" s="133"/>
      <c r="E74" s="129">
        <f>B53</f>
        <v>146.6</v>
      </c>
      <c r="F74" s="129">
        <f>B54</f>
        <v>151.19999999999999</v>
      </c>
      <c r="G74" s="129">
        <v>2</v>
      </c>
      <c r="H74" s="129">
        <f>(C53+C54)/2</f>
        <v>82.25</v>
      </c>
      <c r="I74" s="133">
        <f>((C53-H74)^2+(C54-H74)^2)/G74</f>
        <v>2074.8024999999998</v>
      </c>
      <c r="J74" s="133"/>
      <c r="K74" s="133"/>
    </row>
    <row r="75" spans="1:14" x14ac:dyDescent="0.25">
      <c r="A75" s="133"/>
      <c r="B75" s="133"/>
      <c r="C75" s="133"/>
      <c r="D75" s="133"/>
      <c r="E75" s="129">
        <f>B55</f>
        <v>184.4</v>
      </c>
      <c r="F75" s="129">
        <f>B56</f>
        <v>224</v>
      </c>
      <c r="G75" s="129">
        <v>2</v>
      </c>
      <c r="H75" s="129">
        <f>(C55+C56)/2</f>
        <v>118.8</v>
      </c>
      <c r="I75" s="133">
        <f>((C55-H75)^2+(C56-H75)^2)/G75</f>
        <v>1436.4099999999994</v>
      </c>
      <c r="J75" s="133"/>
      <c r="K75" s="133"/>
    </row>
    <row r="76" spans="1:14" x14ac:dyDescent="0.25">
      <c r="A76" s="133"/>
      <c r="B76" s="133"/>
      <c r="C76" s="133"/>
      <c r="D76" s="133"/>
      <c r="E76" s="133"/>
      <c r="F76" s="133" t="s">
        <v>283</v>
      </c>
      <c r="G76" s="133"/>
      <c r="H76" s="133">
        <f>AVERAGE(H69:H75)</f>
        <v>44.021428571428579</v>
      </c>
      <c r="I76" s="133"/>
      <c r="J76" s="133"/>
      <c r="K76" s="133"/>
    </row>
    <row r="77" spans="1:14" x14ac:dyDescent="0.25">
      <c r="A77" t="s">
        <v>287</v>
      </c>
    </row>
    <row r="78" spans="1:14" x14ac:dyDescent="0.25">
      <c r="A78" t="s">
        <v>284</v>
      </c>
    </row>
    <row r="80" spans="1:14" ht="15.75" x14ac:dyDescent="0.25">
      <c r="A80" s="174" t="s">
        <v>322</v>
      </c>
    </row>
    <row r="81" spans="1:15" x14ac:dyDescent="0.25">
      <c r="A81" t="s">
        <v>286</v>
      </c>
    </row>
    <row r="82" spans="1:15" x14ac:dyDescent="0.25">
      <c r="A82" t="s">
        <v>288</v>
      </c>
    </row>
    <row r="84" spans="1:15" x14ac:dyDescent="0.25">
      <c r="A84" t="s">
        <v>293</v>
      </c>
    </row>
    <row r="85" spans="1:15" x14ac:dyDescent="0.25">
      <c r="A85" s="219" t="s">
        <v>285</v>
      </c>
      <c r="B85" s="219">
        <v>1</v>
      </c>
      <c r="C85" s="219">
        <v>2</v>
      </c>
      <c r="D85" s="219">
        <v>3</v>
      </c>
      <c r="E85" s="128">
        <v>4</v>
      </c>
      <c r="F85" s="128">
        <v>5</v>
      </c>
      <c r="G85" s="219">
        <v>6</v>
      </c>
      <c r="H85" s="219">
        <v>7</v>
      </c>
      <c r="I85" s="219">
        <v>8</v>
      </c>
      <c r="J85" s="219">
        <v>9</v>
      </c>
      <c r="K85" s="219">
        <v>10</v>
      </c>
      <c r="L85" s="219">
        <v>11</v>
      </c>
      <c r="M85" s="219">
        <v>12</v>
      </c>
      <c r="N85" s="219">
        <v>13</v>
      </c>
      <c r="O85" s="219">
        <v>14</v>
      </c>
    </row>
    <row r="86" spans="1:15" x14ac:dyDescent="0.25">
      <c r="A86" s="219">
        <v>1</v>
      </c>
      <c r="B86" s="133">
        <v>0</v>
      </c>
      <c r="C86" s="133"/>
      <c r="D86" s="133"/>
      <c r="E86" s="133"/>
      <c r="F86" s="133"/>
      <c r="G86" s="133"/>
      <c r="H86" s="133"/>
      <c r="I86" s="133"/>
      <c r="J86" s="133"/>
      <c r="K86" s="133"/>
      <c r="L86" s="133"/>
      <c r="M86" s="133"/>
      <c r="N86" s="133"/>
      <c r="O86" s="133"/>
    </row>
    <row r="87" spans="1:15" x14ac:dyDescent="0.25">
      <c r="A87" s="219">
        <v>2</v>
      </c>
      <c r="B87" s="166">
        <f>($B$43-B44)^2</f>
        <v>696.96000000000015</v>
      </c>
      <c r="C87" s="133">
        <v>0</v>
      </c>
      <c r="D87" s="133"/>
      <c r="E87" s="133"/>
      <c r="F87" s="133"/>
      <c r="G87" s="133"/>
      <c r="H87" s="133"/>
      <c r="I87" s="133"/>
      <c r="J87" s="133"/>
      <c r="K87" s="133"/>
      <c r="L87" s="133"/>
      <c r="M87" s="133"/>
      <c r="N87" s="133"/>
      <c r="O87" s="133"/>
    </row>
    <row r="88" spans="1:15" x14ac:dyDescent="0.25">
      <c r="A88" s="219">
        <v>3</v>
      </c>
      <c r="B88" s="133">
        <f t="shared" ref="B88:B98" si="0">($B$43-B45)^2</f>
        <v>784</v>
      </c>
      <c r="C88" s="133">
        <f>($B$44-B45)^2</f>
        <v>2.5599999999999934</v>
      </c>
      <c r="D88" s="133">
        <v>0</v>
      </c>
      <c r="E88" s="133"/>
      <c r="F88" s="133"/>
      <c r="G88" s="133"/>
      <c r="H88" s="133"/>
      <c r="I88" s="133"/>
      <c r="J88" s="133"/>
      <c r="K88" s="133"/>
      <c r="L88" s="133"/>
      <c r="M88" s="133"/>
      <c r="N88" s="133"/>
      <c r="O88" s="133"/>
    </row>
    <row r="89" spans="1:15" x14ac:dyDescent="0.25">
      <c r="A89" s="219">
        <v>4</v>
      </c>
      <c r="B89" s="133">
        <f t="shared" si="0"/>
        <v>1135.6900000000003</v>
      </c>
      <c r="C89" s="133">
        <f t="shared" ref="C89:C99" si="1">($B$44-B46)^2</f>
        <v>53.290000000000013</v>
      </c>
      <c r="D89" s="133">
        <f>($B$45-B46)^2</f>
        <v>32.49000000000003</v>
      </c>
      <c r="E89" s="133">
        <v>0</v>
      </c>
      <c r="F89" s="133"/>
      <c r="G89" s="133"/>
      <c r="H89" s="133"/>
      <c r="I89" s="133"/>
      <c r="J89" s="133"/>
      <c r="K89" s="133"/>
      <c r="L89" s="133"/>
      <c r="M89" s="133"/>
      <c r="N89" s="133"/>
      <c r="O89" s="133"/>
    </row>
    <row r="90" spans="1:15" x14ac:dyDescent="0.25">
      <c r="A90" s="128">
        <v>5</v>
      </c>
      <c r="B90" s="133">
        <f t="shared" si="0"/>
        <v>1190.25</v>
      </c>
      <c r="C90" s="133">
        <f t="shared" si="1"/>
        <v>65.609999999999971</v>
      </c>
      <c r="D90" s="133">
        <f t="shared" ref="D90:D99" si="2">($B$45-B47)^2</f>
        <v>42.25</v>
      </c>
      <c r="E90" s="135">
        <f>($B$46-B47)^2</f>
        <v>0.63999999999999546</v>
      </c>
      <c r="F90" s="133">
        <v>0</v>
      </c>
      <c r="G90" s="133"/>
      <c r="H90" s="133"/>
      <c r="I90" s="133"/>
      <c r="J90" s="133"/>
      <c r="K90" s="133"/>
      <c r="L90" s="133"/>
      <c r="M90" s="133"/>
      <c r="N90" s="133"/>
      <c r="O90" s="133"/>
    </row>
    <row r="91" spans="1:15" x14ac:dyDescent="0.25">
      <c r="A91" s="128">
        <v>6</v>
      </c>
      <c r="B91" s="133">
        <f t="shared" si="0"/>
        <v>1482.25</v>
      </c>
      <c r="C91" s="133">
        <f t="shared" si="1"/>
        <v>146.40999999999994</v>
      </c>
      <c r="D91" s="133">
        <f t="shared" si="2"/>
        <v>110.25</v>
      </c>
      <c r="E91" s="139">
        <f t="shared" ref="E91:E99" si="3">($B$46-B48)^2</f>
        <v>23.039999999999974</v>
      </c>
      <c r="F91" s="139">
        <f>($B$47-B48)^2</f>
        <v>16</v>
      </c>
      <c r="G91" s="133">
        <v>0</v>
      </c>
      <c r="H91" s="133"/>
      <c r="I91" s="133"/>
      <c r="J91" s="133"/>
      <c r="K91" s="133"/>
      <c r="L91" s="133"/>
      <c r="M91" s="133"/>
      <c r="N91" s="133"/>
      <c r="O91" s="133"/>
    </row>
    <row r="92" spans="1:15" x14ac:dyDescent="0.25">
      <c r="A92" s="219">
        <v>7</v>
      </c>
      <c r="B92" s="133">
        <f t="shared" si="0"/>
        <v>2490.0099999999998</v>
      </c>
      <c r="C92" s="133">
        <f t="shared" si="1"/>
        <v>552.24999999999989</v>
      </c>
      <c r="D92" s="133">
        <f t="shared" si="2"/>
        <v>479.60999999999996</v>
      </c>
      <c r="E92" s="133">
        <f t="shared" si="3"/>
        <v>262.43999999999988</v>
      </c>
      <c r="F92" s="133">
        <f t="shared" ref="F92:F99" si="4">($B$47-B49)^2</f>
        <v>237.15999999999997</v>
      </c>
      <c r="G92" s="133">
        <f>($B$48-B49)^2</f>
        <v>129.95999999999998</v>
      </c>
      <c r="H92" s="133">
        <v>0</v>
      </c>
      <c r="I92" s="133"/>
      <c r="J92" s="133"/>
      <c r="K92" s="133"/>
      <c r="L92" s="133"/>
      <c r="M92" s="133"/>
      <c r="N92" s="133"/>
      <c r="O92" s="133"/>
    </row>
    <row r="93" spans="1:15" x14ac:dyDescent="0.25">
      <c r="A93" s="219">
        <v>8</v>
      </c>
      <c r="B93" s="133">
        <f t="shared" si="0"/>
        <v>3481</v>
      </c>
      <c r="C93" s="133">
        <f t="shared" si="1"/>
        <v>1062.7599999999995</v>
      </c>
      <c r="D93" s="133">
        <f t="shared" si="2"/>
        <v>961</v>
      </c>
      <c r="E93" s="133">
        <f t="shared" si="3"/>
        <v>640.0899999999998</v>
      </c>
      <c r="F93" s="133">
        <f t="shared" si="4"/>
        <v>600.25</v>
      </c>
      <c r="G93" s="133">
        <f t="shared" ref="G93:G99" si="5">($B$48-B50)^2</f>
        <v>420.25</v>
      </c>
      <c r="H93" s="133">
        <f>($B$49-B50)^2</f>
        <v>82.810000000000031</v>
      </c>
      <c r="I93" s="133">
        <v>0</v>
      </c>
      <c r="J93" s="133"/>
      <c r="K93" s="133"/>
      <c r="L93" s="133"/>
      <c r="M93" s="133"/>
      <c r="N93" s="133"/>
      <c r="O93" s="133"/>
    </row>
    <row r="94" spans="1:15" x14ac:dyDescent="0.25">
      <c r="A94" s="219">
        <v>9</v>
      </c>
      <c r="B94" s="133">
        <f t="shared" si="0"/>
        <v>5490.8099999999995</v>
      </c>
      <c r="C94" s="133">
        <f t="shared" si="1"/>
        <v>2275.2900000000004</v>
      </c>
      <c r="D94" s="133">
        <f t="shared" si="2"/>
        <v>2125.21</v>
      </c>
      <c r="E94" s="133">
        <f t="shared" si="3"/>
        <v>1632.1599999999999</v>
      </c>
      <c r="F94" s="133">
        <f t="shared" si="4"/>
        <v>1568.16</v>
      </c>
      <c r="G94" s="133">
        <f t="shared" si="5"/>
        <v>1267.3600000000001</v>
      </c>
      <c r="H94" s="133">
        <f t="shared" ref="H94:H99" si="6">($B$49-B51)^2</f>
        <v>585.6400000000001</v>
      </c>
      <c r="I94" s="133">
        <f t="shared" ref="I94:I99" si="7">($B$50-B51)^2</f>
        <v>228.01000000000005</v>
      </c>
      <c r="J94" s="133">
        <v>0</v>
      </c>
      <c r="K94" s="133"/>
      <c r="L94" s="133"/>
      <c r="M94" s="133"/>
      <c r="N94" s="133"/>
      <c r="O94" s="133"/>
    </row>
    <row r="95" spans="1:15" x14ac:dyDescent="0.25">
      <c r="A95" s="219">
        <v>10</v>
      </c>
      <c r="B95" s="133">
        <f t="shared" si="0"/>
        <v>6480.25</v>
      </c>
      <c r="C95" s="133">
        <f t="shared" si="1"/>
        <v>2926.8100000000009</v>
      </c>
      <c r="D95" s="133">
        <f t="shared" si="2"/>
        <v>2756.2500000000009</v>
      </c>
      <c r="E95" s="133">
        <f t="shared" si="3"/>
        <v>2190.2400000000002</v>
      </c>
      <c r="F95" s="133">
        <f t="shared" si="4"/>
        <v>2116.0000000000005</v>
      </c>
      <c r="G95" s="133">
        <f t="shared" si="5"/>
        <v>1764.0000000000007</v>
      </c>
      <c r="H95" s="133">
        <f t="shared" si="6"/>
        <v>936.36000000000047</v>
      </c>
      <c r="I95" s="133">
        <f t="shared" si="7"/>
        <v>462.25000000000028</v>
      </c>
      <c r="J95" s="133">
        <f>($B$51-B52)^2</f>
        <v>40.960000000000072</v>
      </c>
      <c r="K95" s="133">
        <v>0</v>
      </c>
      <c r="L95" s="133"/>
      <c r="M95" s="133"/>
      <c r="N95" s="133"/>
      <c r="O95" s="133"/>
    </row>
    <row r="96" spans="1:15" x14ac:dyDescent="0.25">
      <c r="A96" s="219">
        <v>11</v>
      </c>
      <c r="B96" s="133">
        <f t="shared" si="0"/>
        <v>20363.289999999997</v>
      </c>
      <c r="C96" s="133">
        <f t="shared" si="1"/>
        <v>13525.689999999999</v>
      </c>
      <c r="D96" s="133">
        <f t="shared" si="2"/>
        <v>13156.089999999997</v>
      </c>
      <c r="E96" s="133">
        <f t="shared" si="3"/>
        <v>11881</v>
      </c>
      <c r="F96" s="133">
        <f t="shared" si="4"/>
        <v>11707.239999999998</v>
      </c>
      <c r="G96" s="133">
        <f t="shared" si="5"/>
        <v>10857.639999999998</v>
      </c>
      <c r="H96" s="133">
        <f t="shared" si="6"/>
        <v>8611.84</v>
      </c>
      <c r="I96" s="133">
        <f t="shared" si="7"/>
        <v>7005.6899999999978</v>
      </c>
      <c r="J96" s="133">
        <f>($B$51-B53)^2</f>
        <v>4705.9599999999991</v>
      </c>
      <c r="K96" s="133">
        <f>($B$52-B53)^2</f>
        <v>3868.8399999999988</v>
      </c>
      <c r="L96" s="133">
        <v>0</v>
      </c>
      <c r="M96" s="133"/>
      <c r="N96" s="133"/>
      <c r="O96" s="133"/>
    </row>
    <row r="97" spans="1:15" x14ac:dyDescent="0.25">
      <c r="A97" s="219">
        <v>12</v>
      </c>
      <c r="B97" s="133">
        <f t="shared" si="0"/>
        <v>21697.289999999994</v>
      </c>
      <c r="C97" s="133">
        <f t="shared" si="1"/>
        <v>14616.809999999998</v>
      </c>
      <c r="D97" s="133">
        <f t="shared" si="2"/>
        <v>14232.489999999996</v>
      </c>
      <c r="E97" s="133">
        <f t="shared" si="3"/>
        <v>12904.96</v>
      </c>
      <c r="F97" s="133">
        <f t="shared" si="4"/>
        <v>12723.839999999997</v>
      </c>
      <c r="G97" s="133">
        <f t="shared" si="5"/>
        <v>11837.439999999997</v>
      </c>
      <c r="H97" s="133">
        <f t="shared" si="6"/>
        <v>9486.7599999999984</v>
      </c>
      <c r="I97" s="133">
        <f t="shared" si="7"/>
        <v>7796.8899999999967</v>
      </c>
      <c r="J97" s="133">
        <f>($B$51-B54)^2</f>
        <v>5358.239999999998</v>
      </c>
      <c r="K97" s="133">
        <f>($B$52-B54)^2</f>
        <v>4462.239999999998</v>
      </c>
      <c r="L97" s="133">
        <f>($B$53-B54)^2</f>
        <v>21.159999999999947</v>
      </c>
      <c r="M97" s="133">
        <v>0</v>
      </c>
      <c r="N97" s="133"/>
      <c r="O97" s="133"/>
    </row>
    <row r="98" spans="1:15" x14ac:dyDescent="0.25">
      <c r="A98" s="219">
        <v>13</v>
      </c>
      <c r="B98" s="133">
        <f t="shared" si="0"/>
        <v>32580.25</v>
      </c>
      <c r="C98" s="133">
        <f t="shared" si="1"/>
        <v>23746.809999999998</v>
      </c>
      <c r="D98" s="133">
        <f t="shared" si="2"/>
        <v>23256.25</v>
      </c>
      <c r="E98" s="133">
        <f t="shared" si="3"/>
        <v>21550.240000000002</v>
      </c>
      <c r="F98" s="133">
        <f t="shared" si="4"/>
        <v>21316</v>
      </c>
      <c r="G98" s="133">
        <f t="shared" si="5"/>
        <v>20164</v>
      </c>
      <c r="H98" s="133">
        <f t="shared" si="6"/>
        <v>17056.360000000004</v>
      </c>
      <c r="I98" s="133">
        <f t="shared" si="7"/>
        <v>14762.25</v>
      </c>
      <c r="J98" s="133">
        <f>($B$51-B55)^2</f>
        <v>11320.960000000001</v>
      </c>
      <c r="K98" s="133">
        <f>($B$52-B55)^2</f>
        <v>10000</v>
      </c>
      <c r="L98" s="133">
        <f>($B$53-B55)^2</f>
        <v>1428.8400000000008</v>
      </c>
      <c r="M98" s="133">
        <f>($B$54-B55)^2</f>
        <v>1102.2400000000011</v>
      </c>
      <c r="N98" s="133">
        <v>0</v>
      </c>
      <c r="O98" s="133"/>
    </row>
    <row r="99" spans="1:15" x14ac:dyDescent="0.25">
      <c r="A99" s="219">
        <v>14</v>
      </c>
      <c r="B99" s="133">
        <f>($B$43-B56)^2</f>
        <v>48444.009999999995</v>
      </c>
      <c r="C99" s="133">
        <f t="shared" si="1"/>
        <v>37519.689999999995</v>
      </c>
      <c r="D99" s="133">
        <f t="shared" si="2"/>
        <v>36902.409999999996</v>
      </c>
      <c r="E99" s="133">
        <f t="shared" si="3"/>
        <v>34744.959999999999</v>
      </c>
      <c r="F99" s="133">
        <f t="shared" si="4"/>
        <v>34447.360000000001</v>
      </c>
      <c r="G99" s="133">
        <f t="shared" si="5"/>
        <v>32978.559999999998</v>
      </c>
      <c r="H99" s="133">
        <f t="shared" si="6"/>
        <v>28968.039999999997</v>
      </c>
      <c r="I99" s="133">
        <f t="shared" si="7"/>
        <v>25953.21</v>
      </c>
      <c r="J99" s="133">
        <f>($B$51-B56)^2</f>
        <v>21316</v>
      </c>
      <c r="K99" s="133">
        <f>($B$52-B56)^2</f>
        <v>19488.16</v>
      </c>
      <c r="L99" s="133">
        <f>($B$53-B56)^2</f>
        <v>5990.7600000000011</v>
      </c>
      <c r="M99" s="133">
        <f>($B$54-B56)^2</f>
        <v>5299.840000000002</v>
      </c>
      <c r="N99" s="166">
        <f>(B55-B56)^2</f>
        <v>1568.1599999999996</v>
      </c>
      <c r="O99" s="133">
        <v>0</v>
      </c>
    </row>
    <row r="100" spans="1:15" x14ac:dyDescent="0.25">
      <c r="A100" s="219" t="s">
        <v>291</v>
      </c>
      <c r="B100" s="166">
        <f>MIN(B87:B99)</f>
        <v>696.96000000000015</v>
      </c>
      <c r="C100" s="166">
        <f>MIN(C88:C99)</f>
        <v>2.5599999999999934</v>
      </c>
      <c r="D100" s="166">
        <f>MIN(D89:D99)</f>
        <v>32.49000000000003</v>
      </c>
      <c r="E100" s="222">
        <f>MIN(E90:E99)</f>
        <v>0.63999999999999546</v>
      </c>
      <c r="F100" s="166">
        <f>MIN(F91:F99)</f>
        <v>16</v>
      </c>
      <c r="G100" s="166">
        <f>MIN(G92:G99)</f>
        <v>129.95999999999998</v>
      </c>
      <c r="H100" s="166">
        <f>MIN(H93:H99)</f>
        <v>82.810000000000031</v>
      </c>
      <c r="I100" s="166">
        <f>MIN(I94:I99)</f>
        <v>228.01000000000005</v>
      </c>
      <c r="J100" s="166">
        <f>MIN(J95:J99)</f>
        <v>40.960000000000072</v>
      </c>
      <c r="K100" s="166">
        <f>MIN(K96:K99)</f>
        <v>3868.8399999999988</v>
      </c>
      <c r="L100" s="166">
        <f>MIN(L97:L99)</f>
        <v>21.159999999999947</v>
      </c>
      <c r="M100" s="166">
        <f>MIN(M98:M99)</f>
        <v>1102.2400000000011</v>
      </c>
      <c r="N100" s="166">
        <f>MIN(N99:N99)</f>
        <v>1568.1599999999996</v>
      </c>
      <c r="O100" s="223">
        <f>MIN(B100:N100)</f>
        <v>0.63999999999999546</v>
      </c>
    </row>
    <row r="101" spans="1:15" x14ac:dyDescent="0.25">
      <c r="A101" s="219" t="s">
        <v>292</v>
      </c>
      <c r="B101" s="166"/>
      <c r="C101" s="166"/>
      <c r="D101" s="166"/>
      <c r="E101" s="222">
        <f>MIN(B89:D89,E91:E99)</f>
        <v>23.039999999999974</v>
      </c>
      <c r="F101" s="224">
        <f>MIN(B90:D90,F91:F99)</f>
        <v>16</v>
      </c>
      <c r="G101" s="166"/>
      <c r="H101" s="166"/>
      <c r="I101" s="166"/>
      <c r="J101" s="166"/>
      <c r="K101" s="166"/>
      <c r="L101" s="166"/>
      <c r="M101" s="166"/>
      <c r="N101" s="166"/>
      <c r="O101" s="223"/>
    </row>
    <row r="102" spans="1:15" x14ac:dyDescent="0.25">
      <c r="A102" s="127"/>
      <c r="B102" s="137"/>
      <c r="C102" s="137"/>
      <c r="D102" s="137"/>
      <c r="E102" s="138"/>
      <c r="F102" s="137"/>
      <c r="G102" s="137"/>
      <c r="H102" s="137"/>
      <c r="I102" s="137"/>
      <c r="J102" s="137"/>
      <c r="K102" s="137"/>
      <c r="L102" s="137"/>
      <c r="M102" s="137"/>
      <c r="N102" s="137"/>
      <c r="O102" s="134"/>
    </row>
    <row r="103" spans="1:15" x14ac:dyDescent="0.25">
      <c r="A103" s="446" t="s">
        <v>323</v>
      </c>
      <c r="B103" s="446"/>
      <c r="C103" s="446"/>
      <c r="D103" s="446"/>
      <c r="E103" s="446"/>
      <c r="F103" s="65"/>
      <c r="G103" s="65"/>
      <c r="H103" s="65"/>
      <c r="I103" s="65"/>
      <c r="J103" s="65"/>
      <c r="K103" s="65"/>
      <c r="L103" s="65"/>
      <c r="M103" s="65"/>
      <c r="N103" s="65"/>
      <c r="O103" s="65"/>
    </row>
    <row r="104" spans="1:15" x14ac:dyDescent="0.25">
      <c r="A104" s="129" t="s">
        <v>289</v>
      </c>
      <c r="B104" s="448" t="s">
        <v>290</v>
      </c>
      <c r="C104" s="448"/>
      <c r="D104" s="448"/>
      <c r="E104" s="448"/>
      <c r="F104" s="65"/>
      <c r="G104" s="65"/>
      <c r="H104" s="65"/>
      <c r="I104" s="65"/>
      <c r="J104" s="65"/>
      <c r="K104" s="65"/>
      <c r="L104" s="65"/>
      <c r="M104" s="65"/>
      <c r="N104" s="65"/>
      <c r="O104" s="65"/>
    </row>
    <row r="105" spans="1:15" x14ac:dyDescent="0.25">
      <c r="A105" s="129">
        <v>1</v>
      </c>
      <c r="B105" s="133">
        <v>4</v>
      </c>
      <c r="C105" s="133">
        <v>5</v>
      </c>
      <c r="D105" s="133">
        <v>6</v>
      </c>
      <c r="E105" s="133"/>
      <c r="F105" s="65"/>
      <c r="G105" s="65"/>
      <c r="H105" s="65"/>
      <c r="I105" s="65"/>
      <c r="J105" s="65"/>
      <c r="K105" s="65"/>
      <c r="L105" s="65"/>
      <c r="M105" s="65"/>
      <c r="N105" s="65"/>
      <c r="O105" s="65"/>
    </row>
    <row r="106" spans="1:15" x14ac:dyDescent="0.25">
      <c r="A106" s="129">
        <v>2</v>
      </c>
      <c r="B106" s="133">
        <v>2</v>
      </c>
      <c r="C106" s="133">
        <v>3</v>
      </c>
      <c r="D106" s="133">
        <v>7</v>
      </c>
      <c r="E106" s="166">
        <v>1</v>
      </c>
      <c r="F106" s="65"/>
      <c r="G106" s="65"/>
      <c r="H106" s="65"/>
      <c r="I106" s="65"/>
      <c r="J106" s="65"/>
      <c r="K106" s="65"/>
      <c r="L106" s="65"/>
      <c r="M106" s="65"/>
      <c r="N106" s="65"/>
      <c r="O106" s="65"/>
    </row>
    <row r="107" spans="1:15" x14ac:dyDescent="0.25">
      <c r="A107" s="129">
        <v>3</v>
      </c>
      <c r="B107" s="133">
        <v>11</v>
      </c>
      <c r="C107" s="133">
        <v>12</v>
      </c>
      <c r="D107" s="133">
        <v>13</v>
      </c>
      <c r="E107" s="166">
        <v>14</v>
      </c>
      <c r="F107" s="65"/>
      <c r="G107" s="65"/>
      <c r="H107" s="65"/>
      <c r="I107" s="65"/>
      <c r="J107" s="65"/>
      <c r="K107" s="65"/>
      <c r="L107" s="65"/>
      <c r="M107" s="65"/>
      <c r="N107" s="65"/>
      <c r="O107" s="65"/>
    </row>
    <row r="108" spans="1:15" x14ac:dyDescent="0.25">
      <c r="A108" s="129">
        <v>4</v>
      </c>
      <c r="B108" s="166">
        <v>8</v>
      </c>
      <c r="C108" s="166">
        <v>9</v>
      </c>
      <c r="D108" s="166">
        <v>10</v>
      </c>
      <c r="E108" s="133"/>
      <c r="F108" s="65"/>
      <c r="G108" s="65"/>
      <c r="H108" s="65"/>
      <c r="I108" s="65"/>
      <c r="J108" s="65"/>
      <c r="K108" s="65"/>
      <c r="L108" s="65"/>
      <c r="M108" s="65"/>
      <c r="N108" s="65"/>
      <c r="O108" s="65"/>
    </row>
    <row r="109" spans="1:15" x14ac:dyDescent="0.25">
      <c r="A109" s="136"/>
    </row>
    <row r="111" spans="1:15" x14ac:dyDescent="0.25">
      <c r="A111" t="s">
        <v>324</v>
      </c>
    </row>
    <row r="113" spans="1:12" x14ac:dyDescent="0.25">
      <c r="A113" s="133" t="s">
        <v>285</v>
      </c>
      <c r="B113" s="133">
        <v>1</v>
      </c>
      <c r="C113" s="142">
        <v>2</v>
      </c>
      <c r="D113" s="139">
        <v>3</v>
      </c>
      <c r="E113" s="133">
        <v>7</v>
      </c>
      <c r="F113" s="133">
        <v>8</v>
      </c>
      <c r="G113" s="133">
        <v>9</v>
      </c>
      <c r="H113" s="133">
        <v>10</v>
      </c>
      <c r="I113" s="133">
        <v>11</v>
      </c>
      <c r="J113" s="133">
        <v>12</v>
      </c>
      <c r="K113" s="133">
        <v>13</v>
      </c>
      <c r="L113" s="133">
        <v>14</v>
      </c>
    </row>
    <row r="114" spans="1:12" x14ac:dyDescent="0.25">
      <c r="A114" s="133">
        <v>1</v>
      </c>
      <c r="B114" s="133">
        <v>0</v>
      </c>
      <c r="C114" s="133"/>
      <c r="D114" s="133"/>
      <c r="E114" s="133"/>
      <c r="F114" s="133"/>
      <c r="G114" s="133"/>
      <c r="H114" s="133"/>
      <c r="I114" s="133"/>
      <c r="J114" s="133"/>
      <c r="K114" s="133"/>
      <c r="L114" s="133"/>
    </row>
    <row r="115" spans="1:12" x14ac:dyDescent="0.25">
      <c r="A115" s="133">
        <v>2</v>
      </c>
      <c r="B115" s="133">
        <v>696.96000000000015</v>
      </c>
      <c r="C115" s="133">
        <v>0</v>
      </c>
      <c r="D115" s="133"/>
      <c r="E115" s="133"/>
      <c r="F115" s="133"/>
      <c r="G115" s="133"/>
      <c r="H115" s="133"/>
      <c r="I115" s="133"/>
      <c r="J115" s="133"/>
      <c r="K115" s="133"/>
      <c r="L115" s="133"/>
    </row>
    <row r="116" spans="1:12" x14ac:dyDescent="0.25">
      <c r="A116" s="142">
        <v>3</v>
      </c>
      <c r="B116" s="133">
        <v>784</v>
      </c>
      <c r="C116" s="142">
        <v>2.5599999999999934</v>
      </c>
      <c r="D116" s="133">
        <v>0</v>
      </c>
      <c r="E116" s="133"/>
      <c r="F116" s="133"/>
      <c r="G116" s="133"/>
      <c r="H116" s="133"/>
      <c r="I116" s="133"/>
      <c r="J116" s="133"/>
      <c r="K116" s="133"/>
      <c r="L116" s="133"/>
    </row>
    <row r="117" spans="1:12" x14ac:dyDescent="0.25">
      <c r="A117" s="139">
        <v>7</v>
      </c>
      <c r="B117" s="133">
        <v>2490.0099999999998</v>
      </c>
      <c r="C117" s="139">
        <v>552.24999999999989</v>
      </c>
      <c r="D117" s="139">
        <v>479.60999999999996</v>
      </c>
      <c r="E117" s="133">
        <v>0</v>
      </c>
      <c r="F117" s="133"/>
      <c r="G117" s="133"/>
      <c r="H117" s="133"/>
      <c r="I117" s="133"/>
      <c r="J117" s="133"/>
      <c r="K117" s="133"/>
      <c r="L117" s="133"/>
    </row>
    <row r="118" spans="1:12" x14ac:dyDescent="0.25">
      <c r="A118" s="133">
        <v>8</v>
      </c>
      <c r="B118" s="133">
        <v>3481</v>
      </c>
      <c r="C118" s="133">
        <v>1062.7599999999995</v>
      </c>
      <c r="D118" s="133">
        <v>961</v>
      </c>
      <c r="E118" s="133">
        <v>82.810000000000031</v>
      </c>
      <c r="F118" s="133">
        <v>0</v>
      </c>
      <c r="G118" s="133"/>
      <c r="H118" s="133"/>
      <c r="I118" s="133"/>
      <c r="J118" s="133"/>
      <c r="K118" s="133"/>
      <c r="L118" s="133"/>
    </row>
    <row r="119" spans="1:12" x14ac:dyDescent="0.25">
      <c r="A119" s="133">
        <v>9</v>
      </c>
      <c r="B119" s="133">
        <v>5490.8099999999995</v>
      </c>
      <c r="C119" s="133">
        <v>2275.2900000000004</v>
      </c>
      <c r="D119" s="133">
        <v>2125.21</v>
      </c>
      <c r="E119" s="133">
        <v>585.6400000000001</v>
      </c>
      <c r="F119" s="133">
        <v>228.01000000000005</v>
      </c>
      <c r="G119" s="133">
        <v>0</v>
      </c>
      <c r="H119" s="133"/>
      <c r="I119" s="133"/>
      <c r="J119" s="133"/>
      <c r="K119" s="133"/>
      <c r="L119" s="133"/>
    </row>
    <row r="120" spans="1:12" x14ac:dyDescent="0.25">
      <c r="A120" s="133">
        <v>10</v>
      </c>
      <c r="B120" s="133">
        <v>6480.25</v>
      </c>
      <c r="C120" s="133">
        <v>2926.8100000000009</v>
      </c>
      <c r="D120" s="133">
        <v>2756.2500000000009</v>
      </c>
      <c r="E120" s="133">
        <v>936.36000000000047</v>
      </c>
      <c r="F120" s="133">
        <v>462.25000000000028</v>
      </c>
      <c r="G120" s="133">
        <v>40.960000000000072</v>
      </c>
      <c r="H120" s="133">
        <v>0</v>
      </c>
      <c r="I120" s="133"/>
      <c r="J120" s="133"/>
      <c r="K120" s="133"/>
      <c r="L120" s="133"/>
    </row>
    <row r="121" spans="1:12" x14ac:dyDescent="0.25">
      <c r="A121" s="133">
        <v>11</v>
      </c>
      <c r="B121" s="133">
        <v>20363.289999999997</v>
      </c>
      <c r="C121" s="133">
        <v>13525.689999999999</v>
      </c>
      <c r="D121" s="133">
        <v>13156.089999999997</v>
      </c>
      <c r="E121" s="133">
        <v>8611.84</v>
      </c>
      <c r="F121" s="133">
        <v>7005.6899999999978</v>
      </c>
      <c r="G121" s="133">
        <v>4705.9599999999991</v>
      </c>
      <c r="H121" s="133">
        <v>3868.8399999999988</v>
      </c>
      <c r="I121" s="133">
        <v>0</v>
      </c>
      <c r="J121" s="133"/>
      <c r="K121" s="133"/>
      <c r="L121" s="133"/>
    </row>
    <row r="122" spans="1:12" x14ac:dyDescent="0.25">
      <c r="A122" s="133">
        <v>12</v>
      </c>
      <c r="B122" s="133">
        <v>21697.289999999994</v>
      </c>
      <c r="C122" s="133">
        <v>14616.809999999998</v>
      </c>
      <c r="D122" s="133">
        <v>14232.489999999996</v>
      </c>
      <c r="E122" s="133">
        <v>9486.7599999999984</v>
      </c>
      <c r="F122" s="133">
        <v>7796.8899999999967</v>
      </c>
      <c r="G122" s="133">
        <v>5358.239999999998</v>
      </c>
      <c r="H122" s="133">
        <v>4462.239999999998</v>
      </c>
      <c r="I122" s="133">
        <v>21.159999999999947</v>
      </c>
      <c r="J122" s="133">
        <v>0</v>
      </c>
      <c r="K122" s="133"/>
      <c r="L122" s="133"/>
    </row>
    <row r="123" spans="1:12" x14ac:dyDescent="0.25">
      <c r="A123" s="133">
        <v>13</v>
      </c>
      <c r="B123" s="133">
        <v>32580.25</v>
      </c>
      <c r="C123" s="133">
        <v>23746.809999999998</v>
      </c>
      <c r="D123" s="133">
        <v>23256.25</v>
      </c>
      <c r="E123" s="133">
        <v>17056.360000000004</v>
      </c>
      <c r="F123" s="133">
        <v>14762.25</v>
      </c>
      <c r="G123" s="133">
        <v>11320.960000000001</v>
      </c>
      <c r="H123" s="133">
        <v>10000</v>
      </c>
      <c r="I123" s="133">
        <v>1428.8400000000008</v>
      </c>
      <c r="J123" s="133">
        <v>1102.2400000000011</v>
      </c>
      <c r="K123" s="133">
        <v>0</v>
      </c>
      <c r="L123" s="133"/>
    </row>
    <row r="124" spans="1:12" x14ac:dyDescent="0.25">
      <c r="A124" s="133">
        <v>14</v>
      </c>
      <c r="B124" s="133">
        <v>48444.009999999995</v>
      </c>
      <c r="C124" s="133">
        <v>37519.689999999995</v>
      </c>
      <c r="D124" s="133">
        <v>36902.409999999996</v>
      </c>
      <c r="E124" s="133">
        <v>28968.039999999997</v>
      </c>
      <c r="F124" s="133">
        <v>25953.21</v>
      </c>
      <c r="G124" s="133">
        <v>21316</v>
      </c>
      <c r="H124" s="133">
        <v>19488.16</v>
      </c>
      <c r="I124" s="133">
        <v>5990.7600000000011</v>
      </c>
      <c r="J124" s="133">
        <v>5299.840000000002</v>
      </c>
      <c r="K124" s="133">
        <v>1568.1599999999996</v>
      </c>
      <c r="L124" s="133">
        <v>0</v>
      </c>
    </row>
    <row r="125" spans="1:12" x14ac:dyDescent="0.25">
      <c r="A125" s="133" t="s">
        <v>291</v>
      </c>
      <c r="B125" s="133">
        <f>MIN(B115:B124)</f>
        <v>696.96000000000015</v>
      </c>
      <c r="C125" s="225">
        <f>MIN(C116:C124)</f>
        <v>2.5599999999999934</v>
      </c>
      <c r="D125" s="133">
        <f>MIN(D117:D124)</f>
        <v>479.60999999999996</v>
      </c>
      <c r="E125" s="133">
        <f>MIN(E118:E124)</f>
        <v>82.810000000000031</v>
      </c>
      <c r="F125" s="133">
        <f>MIN(F119:F124)</f>
        <v>228.01000000000005</v>
      </c>
      <c r="G125" s="133">
        <f>MIN(G120:G124)</f>
        <v>40.960000000000072</v>
      </c>
      <c r="H125" s="133">
        <f>MIN(H121:H124)</f>
        <v>3868.8399999999988</v>
      </c>
      <c r="I125" s="133">
        <f>MIN(I122:I124)</f>
        <v>21.159999999999947</v>
      </c>
      <c r="J125" s="133">
        <f>MIN(J123:J124)</f>
        <v>1102.2400000000011</v>
      </c>
      <c r="K125" s="133">
        <f>MIN(K124:K124)</f>
        <v>1568.1599999999996</v>
      </c>
      <c r="L125" s="223">
        <f>MIN(B125:K125)</f>
        <v>2.5599999999999934</v>
      </c>
    </row>
    <row r="126" spans="1:12" x14ac:dyDescent="0.25">
      <c r="A126" s="133" t="s">
        <v>292</v>
      </c>
      <c r="B126" s="133"/>
      <c r="C126" s="133">
        <f>MIN(B115,C117:C124)</f>
        <v>552.24999999999989</v>
      </c>
      <c r="D126" s="133">
        <f>MIN(B116,D117:D124)</f>
        <v>479.60999999999996</v>
      </c>
      <c r="E126" s="133"/>
      <c r="F126" s="133"/>
      <c r="G126" s="133"/>
      <c r="H126" s="133"/>
      <c r="I126" s="133"/>
      <c r="J126" s="133"/>
      <c r="K126" s="133"/>
      <c r="L126" s="133"/>
    </row>
    <row r="128" spans="1:12" x14ac:dyDescent="0.25">
      <c r="A128" t="s">
        <v>325</v>
      </c>
    </row>
    <row r="129" spans="1:9" ht="15.75" thickBot="1" x14ac:dyDescent="0.3"/>
    <row r="130" spans="1:9" ht="15.75" thickBot="1" x14ac:dyDescent="0.3">
      <c r="A130" s="159" t="s">
        <v>285</v>
      </c>
      <c r="B130" s="155">
        <v>1</v>
      </c>
      <c r="C130" s="153">
        <v>8</v>
      </c>
      <c r="D130" s="153">
        <v>9</v>
      </c>
      <c r="E130" s="153">
        <v>10</v>
      </c>
      <c r="F130" s="164">
        <v>11</v>
      </c>
      <c r="G130" s="164">
        <v>12</v>
      </c>
      <c r="H130" s="153">
        <v>13</v>
      </c>
      <c r="I130" s="154">
        <v>14</v>
      </c>
    </row>
    <row r="131" spans="1:9" x14ac:dyDescent="0.25">
      <c r="A131" s="160">
        <v>1</v>
      </c>
      <c r="B131" s="156">
        <v>0</v>
      </c>
      <c r="C131" s="151"/>
      <c r="D131" s="151"/>
      <c r="E131" s="151"/>
      <c r="F131" s="151"/>
      <c r="G131" s="151"/>
      <c r="H131" s="151"/>
      <c r="I131" s="152"/>
    </row>
    <row r="132" spans="1:9" x14ac:dyDescent="0.25">
      <c r="A132" s="161">
        <v>8</v>
      </c>
      <c r="B132" s="157">
        <v>3481</v>
      </c>
      <c r="C132" s="129">
        <v>0</v>
      </c>
      <c r="D132" s="129"/>
      <c r="E132" s="129"/>
      <c r="F132" s="129"/>
      <c r="G132" s="129"/>
      <c r="H132" s="129"/>
      <c r="I132" s="147"/>
    </row>
    <row r="133" spans="1:9" x14ac:dyDescent="0.25">
      <c r="A133" s="161">
        <v>9</v>
      </c>
      <c r="B133" s="157">
        <v>5490.8099999999995</v>
      </c>
      <c r="C133" s="129">
        <v>228.01000000000005</v>
      </c>
      <c r="D133" s="129">
        <v>0</v>
      </c>
      <c r="E133" s="129"/>
      <c r="F133" s="129"/>
      <c r="G133" s="129"/>
      <c r="H133" s="129"/>
      <c r="I133" s="147"/>
    </row>
    <row r="134" spans="1:9" x14ac:dyDescent="0.25">
      <c r="A134" s="161">
        <v>10</v>
      </c>
      <c r="B134" s="157">
        <v>6480.25</v>
      </c>
      <c r="C134" s="129">
        <v>462.25000000000028</v>
      </c>
      <c r="D134" s="129">
        <v>40.960000000000072</v>
      </c>
      <c r="E134" s="129">
        <v>0</v>
      </c>
      <c r="F134" s="129"/>
      <c r="G134" s="129"/>
      <c r="H134" s="129"/>
      <c r="I134" s="147"/>
    </row>
    <row r="135" spans="1:9" x14ac:dyDescent="0.25">
      <c r="A135" s="161">
        <v>11</v>
      </c>
      <c r="B135" s="157">
        <v>20363.289999999997</v>
      </c>
      <c r="C135" s="129">
        <v>7005.6899999999978</v>
      </c>
      <c r="D135" s="129">
        <v>4705.9599999999991</v>
      </c>
      <c r="E135" s="129">
        <v>3868.8399999999988</v>
      </c>
      <c r="F135" s="129">
        <v>0</v>
      </c>
      <c r="G135" s="129"/>
      <c r="H135" s="129"/>
      <c r="I135" s="147"/>
    </row>
    <row r="136" spans="1:9" x14ac:dyDescent="0.25">
      <c r="A136" s="165">
        <v>12</v>
      </c>
      <c r="B136" s="157">
        <v>21697.289999999994</v>
      </c>
      <c r="C136" s="129">
        <v>7796.8899999999967</v>
      </c>
      <c r="D136" s="129">
        <v>5358.239999999998</v>
      </c>
      <c r="E136" s="129">
        <v>4462.239999999998</v>
      </c>
      <c r="F136" s="163">
        <v>21.159999999999947</v>
      </c>
      <c r="G136" s="129">
        <v>0</v>
      </c>
      <c r="H136" s="129"/>
      <c r="I136" s="147"/>
    </row>
    <row r="137" spans="1:9" x14ac:dyDescent="0.25">
      <c r="A137" s="165">
        <v>13</v>
      </c>
      <c r="B137" s="157">
        <v>32580.25</v>
      </c>
      <c r="C137" s="129">
        <v>14762.25</v>
      </c>
      <c r="D137" s="129">
        <v>11320.960000000001</v>
      </c>
      <c r="E137" s="129">
        <v>10000</v>
      </c>
      <c r="F137" s="163">
        <v>1428.8400000000008</v>
      </c>
      <c r="G137" s="163">
        <v>1102.2400000000011</v>
      </c>
      <c r="H137" s="129">
        <v>0</v>
      </c>
      <c r="I137" s="147"/>
    </row>
    <row r="138" spans="1:9" ht="15.75" thickBot="1" x14ac:dyDescent="0.3">
      <c r="A138" s="162">
        <v>14</v>
      </c>
      <c r="B138" s="158">
        <v>48444.009999999995</v>
      </c>
      <c r="C138" s="149">
        <v>25953.21</v>
      </c>
      <c r="D138" s="149">
        <v>21316</v>
      </c>
      <c r="E138" s="149">
        <v>19488.16</v>
      </c>
      <c r="F138" s="149">
        <v>5990.7600000000011</v>
      </c>
      <c r="G138" s="149">
        <v>5299.840000000002</v>
      </c>
      <c r="H138" s="149">
        <v>1568.1599999999996</v>
      </c>
      <c r="I138" s="150">
        <v>0</v>
      </c>
    </row>
    <row r="139" spans="1:9" x14ac:dyDescent="0.25">
      <c r="A139" t="s">
        <v>291</v>
      </c>
      <c r="B139" s="117">
        <f>MIN(B132:B138)</f>
        <v>3481</v>
      </c>
      <c r="C139" s="117">
        <f>MIN(C133:C138)</f>
        <v>228.01000000000005</v>
      </c>
      <c r="D139" s="117">
        <f>MIN(D134:D138)</f>
        <v>40.960000000000072</v>
      </c>
      <c r="E139" s="117">
        <f>MIN(E135:E138)</f>
        <v>3868.8399999999988</v>
      </c>
      <c r="F139" s="117">
        <f>MIN(F136:F138)</f>
        <v>21.159999999999947</v>
      </c>
      <c r="G139" s="117">
        <f>MIN(G137:G138)</f>
        <v>1102.2400000000011</v>
      </c>
      <c r="H139" s="117">
        <f>MIN(H138:H138)</f>
        <v>1568.1599999999996</v>
      </c>
      <c r="I139" s="140">
        <f>MIN(B139:H139)</f>
        <v>21.159999999999947</v>
      </c>
    </row>
    <row r="140" spans="1:9" x14ac:dyDescent="0.25">
      <c r="A140" t="s">
        <v>292</v>
      </c>
      <c r="F140" s="117">
        <f>MIN(B135:E135,F137:F138)</f>
        <v>1428.8400000000008</v>
      </c>
      <c r="G140" s="117">
        <f>MIN(B136:E136,G137:G138)</f>
        <v>1102.2400000000011</v>
      </c>
    </row>
    <row r="142" spans="1:9" x14ac:dyDescent="0.25">
      <c r="A142" t="s">
        <v>326</v>
      </c>
    </row>
    <row r="144" spans="1:9" x14ac:dyDescent="0.25">
      <c r="A144" s="133" t="s">
        <v>285</v>
      </c>
      <c r="B144" s="133">
        <v>1</v>
      </c>
      <c r="C144" s="133">
        <v>8</v>
      </c>
      <c r="D144" s="142">
        <v>9</v>
      </c>
      <c r="E144" s="142">
        <v>10</v>
      </c>
      <c r="F144" s="133">
        <v>14</v>
      </c>
    </row>
    <row r="145" spans="1:12" x14ac:dyDescent="0.25">
      <c r="A145" s="133">
        <v>1</v>
      </c>
      <c r="B145" s="133">
        <v>0</v>
      </c>
      <c r="C145" s="133"/>
      <c r="D145" s="133"/>
      <c r="E145" s="133"/>
      <c r="F145" s="133"/>
    </row>
    <row r="146" spans="1:12" x14ac:dyDescent="0.25">
      <c r="A146" s="139">
        <v>8</v>
      </c>
      <c r="B146" s="133">
        <v>3481</v>
      </c>
      <c r="C146" s="133">
        <v>0</v>
      </c>
      <c r="D146" s="133"/>
      <c r="E146" s="133"/>
      <c r="F146" s="133"/>
    </row>
    <row r="147" spans="1:12" x14ac:dyDescent="0.25">
      <c r="A147" s="133">
        <v>9</v>
      </c>
      <c r="B147" s="133">
        <v>5490.8099999999995</v>
      </c>
      <c r="C147" s="139">
        <v>228.01000000000005</v>
      </c>
      <c r="D147" s="133">
        <v>0</v>
      </c>
      <c r="E147" s="133"/>
      <c r="F147" s="133"/>
    </row>
    <row r="148" spans="1:12" x14ac:dyDescent="0.25">
      <c r="A148" s="142">
        <v>10</v>
      </c>
      <c r="B148" s="133">
        <v>6480.25</v>
      </c>
      <c r="C148" s="139">
        <v>462.25000000000028</v>
      </c>
      <c r="D148" s="142">
        <v>40.960000000000072</v>
      </c>
      <c r="E148" s="133">
        <v>0</v>
      </c>
      <c r="F148" s="133"/>
    </row>
    <row r="149" spans="1:12" x14ac:dyDescent="0.25">
      <c r="A149" s="133">
        <v>14</v>
      </c>
      <c r="B149" s="133">
        <v>48444.009999999995</v>
      </c>
      <c r="C149" s="133">
        <v>25953.21</v>
      </c>
      <c r="D149" s="133">
        <v>21316</v>
      </c>
      <c r="E149" s="133">
        <v>19488.16</v>
      </c>
      <c r="F149" s="133">
        <v>0</v>
      </c>
    </row>
    <row r="150" spans="1:12" x14ac:dyDescent="0.25">
      <c r="A150" t="s">
        <v>291</v>
      </c>
    </row>
    <row r="151" spans="1:12" x14ac:dyDescent="0.25">
      <c r="A151" t="s">
        <v>292</v>
      </c>
      <c r="D151">
        <f>MIN(B147:C147,D149)</f>
        <v>228.01000000000005</v>
      </c>
      <c r="E151">
        <f>MIN(B148:C148,E149)</f>
        <v>462.25000000000028</v>
      </c>
    </row>
    <row r="153" spans="1:12" x14ac:dyDescent="0.25">
      <c r="A153" t="s">
        <v>294</v>
      </c>
    </row>
    <row r="155" spans="1:12" x14ac:dyDescent="0.25">
      <c r="A155" t="s">
        <v>295</v>
      </c>
    </row>
    <row r="157" spans="1:12" ht="15.75" thickBot="1" x14ac:dyDescent="0.3">
      <c r="C157" t="s">
        <v>296</v>
      </c>
    </row>
    <row r="158" spans="1:12" s="126" customFormat="1" ht="75.75" thickBot="1" x14ac:dyDescent="0.3">
      <c r="A158" s="42"/>
      <c r="B158" s="181"/>
      <c r="C158" s="181" t="s">
        <v>298</v>
      </c>
      <c r="D158" s="181" t="s">
        <v>299</v>
      </c>
      <c r="E158" s="181" t="s">
        <v>47</v>
      </c>
      <c r="F158" s="181" t="s">
        <v>301</v>
      </c>
      <c r="G158" s="188" t="s">
        <v>302</v>
      </c>
      <c r="H158" s="42" t="s">
        <v>300</v>
      </c>
      <c r="I158" s="181" t="s">
        <v>48</v>
      </c>
      <c r="J158" s="181" t="s">
        <v>49</v>
      </c>
      <c r="K158" s="449" t="s">
        <v>305</v>
      </c>
      <c r="L158" s="450"/>
    </row>
    <row r="159" spans="1:12" s="115" customFormat="1" ht="45" x14ac:dyDescent="0.25">
      <c r="A159" s="178" t="s">
        <v>297</v>
      </c>
      <c r="B159" s="179" t="s">
        <v>285</v>
      </c>
      <c r="C159" s="179"/>
      <c r="D159" s="179"/>
      <c r="E159" s="179"/>
      <c r="F159" s="179"/>
      <c r="G159" s="189"/>
      <c r="H159" s="178"/>
      <c r="I159" s="179"/>
      <c r="J159" s="179"/>
      <c r="K159" s="179" t="s">
        <v>306</v>
      </c>
      <c r="L159" s="180" t="s">
        <v>307</v>
      </c>
    </row>
    <row r="160" spans="1:12" x14ac:dyDescent="0.25">
      <c r="A160" s="146">
        <v>1</v>
      </c>
      <c r="B160" s="129">
        <v>4</v>
      </c>
      <c r="C160" s="129">
        <v>10.8</v>
      </c>
      <c r="D160" s="133">
        <f>(C160+C161+C162)/3</f>
        <v>16.033333333333335</v>
      </c>
      <c r="E160" s="133">
        <f>_xlfn.VAR.P(C160:C162)</f>
        <v>34.97555555555553</v>
      </c>
      <c r="F160" s="129">
        <v>3</v>
      </c>
      <c r="G160" s="190">
        <f>F160/F174</f>
        <v>0.21428571428571427</v>
      </c>
      <c r="H160" s="195">
        <f>E160*G160+E163*G163+E167*G167+E171*G171</f>
        <v>782.11345238095134</v>
      </c>
      <c r="I160" s="133">
        <f>(D160-D175)^2*G160+(D163-D175)^2*G163+(D167-D175)^2*G167+(D171-D175)^2*G171</f>
        <v>1316.3510884353741</v>
      </c>
      <c r="J160" s="133">
        <f>H160+I160</f>
        <v>2098.4645408163256</v>
      </c>
      <c r="K160" s="133">
        <f>H160/J160</f>
        <v>0.3727074902474648</v>
      </c>
      <c r="L160" s="175">
        <f>1-K160</f>
        <v>0.62729250975253525</v>
      </c>
    </row>
    <row r="161" spans="1:12" x14ac:dyDescent="0.25">
      <c r="A161" s="146"/>
      <c r="B161" s="129">
        <v>5</v>
      </c>
      <c r="C161" s="129">
        <v>13</v>
      </c>
      <c r="D161" s="133"/>
      <c r="E161" s="133"/>
      <c r="F161" s="133"/>
      <c r="G161" s="190"/>
      <c r="H161" s="195"/>
      <c r="I161" s="133"/>
      <c r="J161" s="133"/>
      <c r="K161" s="133"/>
      <c r="L161" s="175"/>
    </row>
    <row r="162" spans="1:12" ht="15.75" thickBot="1" x14ac:dyDescent="0.3">
      <c r="A162" s="148"/>
      <c r="B162" s="149">
        <v>6</v>
      </c>
      <c r="C162" s="149">
        <v>24.3</v>
      </c>
      <c r="D162" s="176"/>
      <c r="E162" s="176"/>
      <c r="F162" s="176"/>
      <c r="G162" s="191"/>
      <c r="H162" s="195"/>
      <c r="I162" s="133"/>
      <c r="J162" s="133"/>
      <c r="K162" s="133"/>
      <c r="L162" s="175"/>
    </row>
    <row r="163" spans="1:12" x14ac:dyDescent="0.25">
      <c r="A163" s="143">
        <v>2</v>
      </c>
      <c r="B163" s="144">
        <v>1</v>
      </c>
      <c r="C163" s="144">
        <v>1.3</v>
      </c>
      <c r="D163" s="182">
        <f>(C163+C164+C165+C166)/4</f>
        <v>16.975000000000001</v>
      </c>
      <c r="E163" s="182">
        <f>_xlfn.VAR.P(C163:C166)</f>
        <v>573.39687499999991</v>
      </c>
      <c r="F163" s="144">
        <v>4</v>
      </c>
      <c r="G163" s="192">
        <f>F163/F174</f>
        <v>0.2857142857142857</v>
      </c>
      <c r="H163" s="195"/>
      <c r="I163" s="133"/>
      <c r="J163" s="133"/>
      <c r="K163" s="133"/>
      <c r="L163" s="175"/>
    </row>
    <row r="164" spans="1:12" x14ac:dyDescent="0.25">
      <c r="A164" s="146"/>
      <c r="B164" s="129">
        <v>2</v>
      </c>
      <c r="C164" s="129">
        <v>4.5</v>
      </c>
      <c r="D164" s="133"/>
      <c r="E164" s="133"/>
      <c r="F164" s="133"/>
      <c r="G164" s="190"/>
      <c r="H164" s="195"/>
      <c r="I164" s="133"/>
      <c r="J164" s="133"/>
      <c r="K164" s="133"/>
      <c r="L164" s="175"/>
    </row>
    <row r="165" spans="1:12" x14ac:dyDescent="0.25">
      <c r="A165" s="146"/>
      <c r="B165" s="129">
        <v>3</v>
      </c>
      <c r="C165" s="129">
        <v>58.4</v>
      </c>
      <c r="D165" s="133"/>
      <c r="E165" s="133"/>
      <c r="F165" s="133"/>
      <c r="G165" s="190"/>
      <c r="H165" s="195"/>
      <c r="I165" s="133"/>
      <c r="J165" s="133"/>
      <c r="K165" s="133"/>
      <c r="L165" s="175"/>
    </row>
    <row r="166" spans="1:12" ht="15.75" thickBot="1" x14ac:dyDescent="0.3">
      <c r="A166" s="148"/>
      <c r="B166" s="149">
        <v>7</v>
      </c>
      <c r="C166" s="149">
        <v>3.7</v>
      </c>
      <c r="D166" s="176"/>
      <c r="E166" s="176"/>
      <c r="F166" s="176"/>
      <c r="G166" s="191"/>
      <c r="H166" s="195"/>
      <c r="I166" s="133"/>
      <c r="J166" s="133"/>
      <c r="K166" s="133"/>
      <c r="L166" s="175"/>
    </row>
    <row r="167" spans="1:12" x14ac:dyDescent="0.25">
      <c r="A167" s="143">
        <v>3</v>
      </c>
      <c r="B167" s="144">
        <v>11</v>
      </c>
      <c r="C167" s="144">
        <v>127.8</v>
      </c>
      <c r="D167" s="182">
        <f>(C167+C168+C169+C170)/4</f>
        <v>100.52500000000001</v>
      </c>
      <c r="E167" s="182">
        <f>_xlfn.VAR.P(C167:C170)</f>
        <v>2089.5818749999962</v>
      </c>
      <c r="F167" s="144">
        <v>4</v>
      </c>
      <c r="G167" s="192">
        <f>F167/F174</f>
        <v>0.2857142857142857</v>
      </c>
      <c r="H167" s="195"/>
      <c r="I167" s="133"/>
      <c r="J167" s="133"/>
      <c r="K167" s="133"/>
      <c r="L167" s="175"/>
    </row>
    <row r="168" spans="1:12" x14ac:dyDescent="0.25">
      <c r="A168" s="146"/>
      <c r="B168" s="129">
        <v>12</v>
      </c>
      <c r="C168" s="129">
        <v>36.700000000000003</v>
      </c>
      <c r="D168" s="133"/>
      <c r="E168" s="133"/>
      <c r="F168" s="133"/>
      <c r="G168" s="190"/>
      <c r="H168" s="195"/>
      <c r="I168" s="133"/>
      <c r="J168" s="133"/>
      <c r="K168" s="133"/>
      <c r="L168" s="175"/>
    </row>
    <row r="169" spans="1:12" x14ac:dyDescent="0.25">
      <c r="A169" s="146"/>
      <c r="B169" s="129">
        <v>13</v>
      </c>
      <c r="C169" s="129">
        <v>80.900000000000006</v>
      </c>
      <c r="D169" s="133"/>
      <c r="E169" s="133"/>
      <c r="F169" s="133"/>
      <c r="G169" s="190"/>
      <c r="H169" s="195"/>
      <c r="I169" s="133"/>
      <c r="J169" s="133"/>
      <c r="K169" s="133"/>
      <c r="L169" s="175"/>
    </row>
    <row r="170" spans="1:12" ht="15.75" thickBot="1" x14ac:dyDescent="0.3">
      <c r="A170" s="148"/>
      <c r="B170" s="149">
        <v>14</v>
      </c>
      <c r="C170" s="149">
        <v>156.69999999999999</v>
      </c>
      <c r="D170" s="176"/>
      <c r="E170" s="176"/>
      <c r="F170" s="176"/>
      <c r="G170" s="191"/>
      <c r="H170" s="195"/>
      <c r="I170" s="133"/>
      <c r="J170" s="133"/>
      <c r="K170" s="133"/>
      <c r="L170" s="175"/>
    </row>
    <row r="171" spans="1:12" x14ac:dyDescent="0.25">
      <c r="A171" s="143">
        <v>4</v>
      </c>
      <c r="B171" s="144">
        <v>8</v>
      </c>
      <c r="C171" s="144">
        <v>33.4</v>
      </c>
      <c r="D171" s="182">
        <f>(C171+C172+C173)/3</f>
        <v>32.733333333333327</v>
      </c>
      <c r="E171" s="182">
        <f>_xlfn.VAR.P(C171:C173)</f>
        <v>64.248888888889269</v>
      </c>
      <c r="F171" s="144">
        <v>3</v>
      </c>
      <c r="G171" s="192">
        <f>F171/F174</f>
        <v>0.21428571428571427</v>
      </c>
      <c r="H171" s="195"/>
      <c r="I171" s="133"/>
      <c r="J171" s="133"/>
      <c r="K171" s="133"/>
      <c r="L171" s="175"/>
    </row>
    <row r="172" spans="1:12" x14ac:dyDescent="0.25">
      <c r="A172" s="146"/>
      <c r="B172" s="129">
        <v>9</v>
      </c>
      <c r="C172" s="129">
        <v>42.2</v>
      </c>
      <c r="D172" s="133"/>
      <c r="E172" s="133"/>
      <c r="F172" s="133"/>
      <c r="G172" s="190"/>
      <c r="H172" s="195"/>
      <c r="I172" s="133"/>
      <c r="J172" s="133"/>
      <c r="K172" s="133"/>
      <c r="L172" s="175"/>
    </row>
    <row r="173" spans="1:12" ht="15.75" thickBot="1" x14ac:dyDescent="0.3">
      <c r="A173" s="183"/>
      <c r="B173" s="184">
        <v>10</v>
      </c>
      <c r="C173" s="184">
        <v>22.6</v>
      </c>
      <c r="D173" s="185"/>
      <c r="E173" s="185"/>
      <c r="F173" s="185"/>
      <c r="G173" s="193"/>
      <c r="H173" s="196"/>
      <c r="I173" s="185"/>
      <c r="J173" s="185"/>
      <c r="K173" s="185"/>
      <c r="L173" s="186"/>
    </row>
    <row r="174" spans="1:12" s="117" customFormat="1" x14ac:dyDescent="0.25">
      <c r="A174" s="143" t="s">
        <v>303</v>
      </c>
      <c r="B174" s="144"/>
      <c r="C174" s="144"/>
      <c r="D174" s="144"/>
      <c r="E174" s="144"/>
      <c r="F174" s="144">
        <v>14</v>
      </c>
      <c r="G174" s="194"/>
      <c r="H174" s="143"/>
      <c r="I174" s="144"/>
      <c r="J174" s="144"/>
      <c r="K174" s="144"/>
      <c r="L174" s="145"/>
    </row>
    <row r="175" spans="1:12" ht="15.75" thickBot="1" x14ac:dyDescent="0.3">
      <c r="A175" s="187" t="s">
        <v>304</v>
      </c>
      <c r="B175" s="176"/>
      <c r="C175" s="176"/>
      <c r="D175" s="176">
        <f>D160*G160+D163*G163+D167*G167+D171*G171</f>
        <v>44.021428571428572</v>
      </c>
      <c r="E175" s="176"/>
      <c r="F175" s="176"/>
      <c r="G175" s="191"/>
      <c r="H175" s="187"/>
      <c r="I175" s="176"/>
      <c r="J175" s="176"/>
      <c r="K175" s="176"/>
      <c r="L175" s="177"/>
    </row>
  </sheetData>
  <sortState ref="A61:B74">
    <sortCondition ref="B61:B74"/>
  </sortState>
  <mergeCells count="17">
    <mergeCell ref="B104:E104"/>
    <mergeCell ref="K158:L158"/>
    <mergeCell ref="D4:E4"/>
    <mergeCell ref="A103:E103"/>
    <mergeCell ref="K67:K68"/>
    <mergeCell ref="A58:D58"/>
    <mergeCell ref="B67:C67"/>
    <mergeCell ref="A67:A68"/>
    <mergeCell ref="D67:D68"/>
    <mergeCell ref="A66:D66"/>
    <mergeCell ref="E67:F67"/>
    <mergeCell ref="H66:K66"/>
    <mergeCell ref="G67:G68"/>
    <mergeCell ref="E66:G66"/>
    <mergeCell ref="H67:H68"/>
    <mergeCell ref="I67:I68"/>
    <mergeCell ref="J67:J68"/>
  </mergeCells>
  <pageMargins left="0.11811023622047245" right="0.11811023622047245" top="0.15748031496062992" bottom="0.15748031496062992" header="0.31496062992125984" footer="0.31496062992125984"/>
  <pageSetup paperSize="9" scale="7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workbookViewId="0">
      <selection activeCell="A27" sqref="A27"/>
    </sheetView>
  </sheetViews>
  <sheetFormatPr defaultRowHeight="15" x14ac:dyDescent="0.25"/>
  <cols>
    <col min="1" max="1" width="27.28515625" style="197" customWidth="1"/>
    <col min="2" max="2" width="17.85546875" style="197" customWidth="1"/>
    <col min="3" max="3" width="13.140625" style="197" customWidth="1"/>
    <col min="4" max="4" width="15.140625" style="197" customWidth="1"/>
    <col min="5" max="5" width="11.28515625" style="197" customWidth="1"/>
    <col min="6" max="6" width="17.28515625" style="197" customWidth="1"/>
    <col min="7" max="7" width="12.5703125" style="197" customWidth="1"/>
    <col min="8" max="16384" width="9.140625" style="197"/>
  </cols>
  <sheetData>
    <row r="1" spans="1:7" x14ac:dyDescent="0.25">
      <c r="A1" s="197" t="s">
        <v>336</v>
      </c>
    </row>
    <row r="3" spans="1:7" x14ac:dyDescent="0.25">
      <c r="A3" s="208" t="s">
        <v>337</v>
      </c>
    </row>
    <row r="5" spans="1:7" s="198" customFormat="1" x14ac:dyDescent="0.25">
      <c r="A5" s="453" t="s">
        <v>335</v>
      </c>
      <c r="B5" s="199" t="s">
        <v>330</v>
      </c>
      <c r="C5" s="451" t="s">
        <v>331</v>
      </c>
      <c r="D5" s="451" t="s">
        <v>332</v>
      </c>
      <c r="E5" s="451" t="s">
        <v>333</v>
      </c>
      <c r="F5" s="451" t="s">
        <v>334</v>
      </c>
      <c r="G5" s="452"/>
    </row>
    <row r="6" spans="1:7" s="198" customFormat="1" ht="27" customHeight="1" x14ac:dyDescent="0.25">
      <c r="A6" s="453"/>
      <c r="B6" s="453" t="s">
        <v>327</v>
      </c>
      <c r="C6" s="451"/>
      <c r="D6" s="451"/>
      <c r="E6" s="451"/>
      <c r="F6" s="451"/>
      <c r="G6" s="452"/>
    </row>
    <row r="7" spans="1:7" s="198" customFormat="1" ht="33" customHeight="1" x14ac:dyDescent="0.25">
      <c r="A7" s="453"/>
      <c r="B7" s="453"/>
      <c r="C7" s="451"/>
      <c r="D7" s="451"/>
      <c r="E7" s="451"/>
      <c r="F7" s="451"/>
      <c r="G7" s="452"/>
    </row>
    <row r="8" spans="1:7" x14ac:dyDescent="0.25">
      <c r="A8" s="200" t="s">
        <v>7</v>
      </c>
      <c r="B8" s="201">
        <v>214414.1</v>
      </c>
      <c r="C8" s="202">
        <f t="shared" ref="C8:C22" si="0">B8/$B$23</f>
        <v>4.2518786902179612E-2</v>
      </c>
      <c r="D8" s="203">
        <v>6375</v>
      </c>
      <c r="E8" s="204">
        <f>C8*D8</f>
        <v>271.05726650139502</v>
      </c>
      <c r="F8" s="205">
        <f>D8*D8</f>
        <v>40640625</v>
      </c>
    </row>
    <row r="9" spans="1:7" ht="31.5" customHeight="1" x14ac:dyDescent="0.25">
      <c r="A9" s="200" t="s">
        <v>10</v>
      </c>
      <c r="B9" s="201">
        <v>256585.4</v>
      </c>
      <c r="C9" s="202">
        <f t="shared" si="0"/>
        <v>5.0881448304055173E-2</v>
      </c>
      <c r="D9" s="206">
        <v>483</v>
      </c>
      <c r="E9" s="204">
        <f t="shared" ref="E9:E22" si="1">C9*D9</f>
        <v>24.575739530858648</v>
      </c>
      <c r="F9" s="205">
        <f t="shared" ref="F9:F22" si="2">D9*D9</f>
        <v>233289</v>
      </c>
    </row>
    <row r="10" spans="1:7" ht="31.5" x14ac:dyDescent="0.25">
      <c r="A10" s="200" t="s">
        <v>1</v>
      </c>
      <c r="B10" s="201">
        <v>31553.599999999999</v>
      </c>
      <c r="C10" s="202">
        <f t="shared" si="0"/>
        <v>6.2571481744746003E-3</v>
      </c>
      <c r="D10" s="206">
        <v>919</v>
      </c>
      <c r="E10" s="204">
        <f t="shared" si="1"/>
        <v>5.7503191723421576</v>
      </c>
      <c r="F10" s="205">
        <f t="shared" si="2"/>
        <v>844561</v>
      </c>
    </row>
    <row r="11" spans="1:7" x14ac:dyDescent="0.25">
      <c r="A11" s="200" t="s">
        <v>11</v>
      </c>
      <c r="B11" s="201">
        <v>365684</v>
      </c>
      <c r="C11" s="202">
        <f t="shared" si="0"/>
        <v>7.2515940274154769E-2</v>
      </c>
      <c r="D11" s="203">
        <v>14050</v>
      </c>
      <c r="E11" s="204">
        <f t="shared" si="1"/>
        <v>1018.8489608518745</v>
      </c>
      <c r="F11" s="205">
        <f t="shared" si="2"/>
        <v>197402500</v>
      </c>
    </row>
    <row r="12" spans="1:7" ht="21" x14ac:dyDescent="0.25">
      <c r="A12" s="200" t="s">
        <v>12</v>
      </c>
      <c r="B12" s="201">
        <v>1550590.6</v>
      </c>
      <c r="C12" s="202">
        <f t="shared" si="0"/>
        <v>0.30748552121303041</v>
      </c>
      <c r="D12" s="203">
        <v>32146</v>
      </c>
      <c r="E12" s="204">
        <f t="shared" si="1"/>
        <v>9884.4295649140749</v>
      </c>
      <c r="F12" s="205">
        <f t="shared" si="2"/>
        <v>1033365316</v>
      </c>
    </row>
    <row r="13" spans="1:7" x14ac:dyDescent="0.25">
      <c r="A13" s="200" t="s">
        <v>14</v>
      </c>
      <c r="B13" s="201">
        <v>117747.4</v>
      </c>
      <c r="C13" s="202">
        <f t="shared" si="0"/>
        <v>2.3349568003623377E-2</v>
      </c>
      <c r="D13" s="203">
        <v>2064</v>
      </c>
      <c r="E13" s="204">
        <f t="shared" si="1"/>
        <v>48.193508359478649</v>
      </c>
      <c r="F13" s="205">
        <f t="shared" si="2"/>
        <v>4260096</v>
      </c>
    </row>
    <row r="14" spans="1:7" x14ac:dyDescent="0.25">
      <c r="A14" s="200" t="s">
        <v>15</v>
      </c>
      <c r="B14" s="201">
        <v>176290</v>
      </c>
      <c r="C14" s="202">
        <f t="shared" si="0"/>
        <v>3.4958694148310411E-2</v>
      </c>
      <c r="D14" s="203">
        <v>3379</v>
      </c>
      <c r="E14" s="204">
        <f t="shared" si="1"/>
        <v>118.12542752714089</v>
      </c>
      <c r="F14" s="205">
        <f t="shared" si="2"/>
        <v>11417641</v>
      </c>
    </row>
    <row r="15" spans="1:7" ht="21" customHeight="1" x14ac:dyDescent="0.25">
      <c r="A15" s="200" t="s">
        <v>16</v>
      </c>
      <c r="B15" s="201">
        <v>376387.9</v>
      </c>
      <c r="C15" s="202">
        <f t="shared" si="0"/>
        <v>7.4638547150858506E-2</v>
      </c>
      <c r="D15" s="203">
        <v>3753</v>
      </c>
      <c r="E15" s="204">
        <f t="shared" si="1"/>
        <v>280.11846745717196</v>
      </c>
      <c r="F15" s="205">
        <f t="shared" si="2"/>
        <v>14085009</v>
      </c>
    </row>
    <row r="16" spans="1:7" ht="21" x14ac:dyDescent="0.25">
      <c r="A16" s="200" t="s">
        <v>18</v>
      </c>
      <c r="B16" s="201">
        <v>576005.4</v>
      </c>
      <c r="C16" s="202">
        <f t="shared" si="0"/>
        <v>0.11422313577840602</v>
      </c>
      <c r="D16" s="203">
        <v>10105</v>
      </c>
      <c r="E16" s="204">
        <f t="shared" si="1"/>
        <v>1154.2247870407928</v>
      </c>
      <c r="F16" s="205">
        <f t="shared" si="2"/>
        <v>102111025</v>
      </c>
    </row>
    <row r="17" spans="1:6" ht="31.5" customHeight="1" x14ac:dyDescent="0.25">
      <c r="A17" s="200" t="s">
        <v>19</v>
      </c>
      <c r="B17" s="201">
        <v>251375.1</v>
      </c>
      <c r="C17" s="202">
        <f t="shared" si="0"/>
        <v>4.984823437177914E-2</v>
      </c>
      <c r="D17" s="203">
        <v>6582</v>
      </c>
      <c r="E17" s="204">
        <f t="shared" si="1"/>
        <v>328.10107863505033</v>
      </c>
      <c r="F17" s="205">
        <f t="shared" si="2"/>
        <v>43322724</v>
      </c>
    </row>
    <row r="18" spans="1:6" ht="31.5" customHeight="1" x14ac:dyDescent="0.25">
      <c r="A18" s="200" t="s">
        <v>20</v>
      </c>
      <c r="B18" s="201">
        <v>210388.3</v>
      </c>
      <c r="C18" s="202">
        <f t="shared" si="0"/>
        <v>4.1720461921169523E-2</v>
      </c>
      <c r="D18" s="203">
        <v>9263</v>
      </c>
      <c r="E18" s="204">
        <f t="shared" si="1"/>
        <v>386.45663877579329</v>
      </c>
      <c r="F18" s="205">
        <f t="shared" si="2"/>
        <v>85803169</v>
      </c>
    </row>
    <row r="19" spans="1:6" x14ac:dyDescent="0.25">
      <c r="A19" s="200" t="s">
        <v>21</v>
      </c>
      <c r="B19" s="201">
        <v>353617.9</v>
      </c>
      <c r="C19" s="202">
        <f t="shared" si="0"/>
        <v>7.0123206145940309E-2</v>
      </c>
      <c r="D19" s="203">
        <v>16418</v>
      </c>
      <c r="E19" s="204">
        <f t="shared" si="1"/>
        <v>1151.2827985040481</v>
      </c>
      <c r="F19" s="205">
        <f t="shared" si="2"/>
        <v>269550724</v>
      </c>
    </row>
    <row r="20" spans="1:6" ht="21" customHeight="1" x14ac:dyDescent="0.25">
      <c r="A20" s="200" t="s">
        <v>22</v>
      </c>
      <c r="B20" s="201">
        <v>241933.1</v>
      </c>
      <c r="C20" s="202">
        <f t="shared" si="0"/>
        <v>4.7975865036318552E-2</v>
      </c>
      <c r="D20" s="203">
        <v>3695</v>
      </c>
      <c r="E20" s="204">
        <f t="shared" si="1"/>
        <v>177.27082130919706</v>
      </c>
      <c r="F20" s="205">
        <f t="shared" si="2"/>
        <v>13653025</v>
      </c>
    </row>
    <row r="21" spans="1:6" x14ac:dyDescent="0.25">
      <c r="A21" s="200" t="s">
        <v>23</v>
      </c>
      <c r="B21" s="201">
        <v>70346.5</v>
      </c>
      <c r="C21" s="202">
        <f t="shared" si="0"/>
        <v>1.3949865437087291E-2</v>
      </c>
      <c r="D21" s="203">
        <v>2627</v>
      </c>
      <c r="E21" s="204">
        <f t="shared" si="1"/>
        <v>36.646296503228314</v>
      </c>
      <c r="F21" s="205">
        <f t="shared" si="2"/>
        <v>6901129</v>
      </c>
    </row>
    <row r="22" spans="1:6" ht="21" customHeight="1" x14ac:dyDescent="0.25">
      <c r="A22" s="200" t="s">
        <v>328</v>
      </c>
      <c r="B22" s="201">
        <v>249889.2</v>
      </c>
      <c r="C22" s="202">
        <f t="shared" si="0"/>
        <v>4.9553577138612345E-2</v>
      </c>
      <c r="D22" s="203">
        <v>9431</v>
      </c>
      <c r="E22" s="204">
        <f t="shared" si="1"/>
        <v>467.33978599425302</v>
      </c>
      <c r="F22" s="205">
        <f t="shared" si="2"/>
        <v>88943761</v>
      </c>
    </row>
    <row r="23" spans="1:6" x14ac:dyDescent="0.25">
      <c r="A23" s="205" t="s">
        <v>303</v>
      </c>
      <c r="B23" s="207">
        <f>SUM(B8:B22)</f>
        <v>5042808.5</v>
      </c>
      <c r="C23" s="205">
        <f>SUM(C8:C22)</f>
        <v>1</v>
      </c>
      <c r="D23" s="205"/>
      <c r="E23" s="204"/>
      <c r="F23" s="205"/>
    </row>
    <row r="24" spans="1:6" x14ac:dyDescent="0.25">
      <c r="A24" s="205" t="s">
        <v>329</v>
      </c>
      <c r="B24" s="205"/>
      <c r="C24" s="205"/>
      <c r="D24" s="205"/>
      <c r="E24" s="204">
        <f>SUM(E8:E23)</f>
        <v>15352.421461076698</v>
      </c>
      <c r="F24" s="205">
        <f>SUM(F8:F23)</f>
        <v>1912534594</v>
      </c>
    </row>
    <row r="26" spans="1:6" x14ac:dyDescent="0.25">
      <c r="A26" s="208" t="s">
        <v>371</v>
      </c>
    </row>
    <row r="27" spans="1:6" x14ac:dyDescent="0.25">
      <c r="A27" s="208"/>
    </row>
    <row r="28" spans="1:6" x14ac:dyDescent="0.25">
      <c r="A28" s="208" t="s">
        <v>361</v>
      </c>
    </row>
    <row r="29" spans="1:6" x14ac:dyDescent="0.25">
      <c r="A29" s="208" t="s">
        <v>362</v>
      </c>
    </row>
    <row r="30" spans="1:6" x14ac:dyDescent="0.25">
      <c r="A30" s="208" t="s">
        <v>363</v>
      </c>
    </row>
    <row r="31" spans="1:6" x14ac:dyDescent="0.25">
      <c r="A31" s="208" t="s">
        <v>364</v>
      </c>
    </row>
    <row r="32" spans="1:6" x14ac:dyDescent="0.25">
      <c r="A32" s="208" t="s">
        <v>365</v>
      </c>
    </row>
    <row r="33" spans="1:9" x14ac:dyDescent="0.25">
      <c r="A33" s="208" t="s">
        <v>366</v>
      </c>
    </row>
    <row r="34" spans="1:9" x14ac:dyDescent="0.25">
      <c r="A34" s="197" t="s">
        <v>367</v>
      </c>
    </row>
    <row r="35" spans="1:9" x14ac:dyDescent="0.25">
      <c r="A35" t="s">
        <v>368</v>
      </c>
      <c r="B35"/>
      <c r="C35"/>
      <c r="D35"/>
      <c r="E35"/>
      <c r="F35"/>
      <c r="G35"/>
      <c r="H35"/>
      <c r="I35"/>
    </row>
    <row r="36" spans="1:9" x14ac:dyDescent="0.25">
      <c r="A36" s="208" t="s">
        <v>369</v>
      </c>
      <c r="B36"/>
      <c r="C36"/>
      <c r="D36"/>
      <c r="E36"/>
      <c r="F36"/>
      <c r="G36"/>
      <c r="H36"/>
      <c r="I36"/>
    </row>
    <row r="37" spans="1:9" x14ac:dyDescent="0.25">
      <c r="A37" s="208" t="s">
        <v>370</v>
      </c>
      <c r="B37"/>
      <c r="C37"/>
      <c r="D37"/>
      <c r="E37"/>
      <c r="F37"/>
      <c r="G37"/>
      <c r="H37"/>
      <c r="I37"/>
    </row>
    <row r="38" spans="1:9" x14ac:dyDescent="0.25">
      <c r="A38"/>
      <c r="B38"/>
      <c r="C38"/>
      <c r="D38"/>
      <c r="E38"/>
      <c r="F38"/>
      <c r="G38"/>
      <c r="H38"/>
      <c r="I38"/>
    </row>
    <row r="39" spans="1:9" x14ac:dyDescent="0.25">
      <c r="A39" s="209" t="s">
        <v>338</v>
      </c>
      <c r="B39" s="209"/>
      <c r="C39"/>
      <c r="D39"/>
      <c r="E39"/>
      <c r="F39"/>
      <c r="G39"/>
      <c r="H39"/>
      <c r="I39"/>
    </row>
    <row r="40" spans="1:9" x14ac:dyDescent="0.25">
      <c r="A40" s="210" t="s">
        <v>339</v>
      </c>
      <c r="B40" s="210">
        <v>0.88681168146795097</v>
      </c>
      <c r="C40"/>
      <c r="D40"/>
      <c r="E40"/>
      <c r="F40"/>
      <c r="G40"/>
      <c r="H40"/>
      <c r="I40"/>
    </row>
    <row r="41" spans="1:9" x14ac:dyDescent="0.25">
      <c r="A41" s="210" t="s">
        <v>340</v>
      </c>
      <c r="B41" s="210">
        <v>0.78643495838801447</v>
      </c>
      <c r="C41"/>
      <c r="D41"/>
      <c r="E41"/>
      <c r="F41"/>
      <c r="G41"/>
      <c r="H41"/>
      <c r="I41"/>
    </row>
    <row r="42" spans="1:9" x14ac:dyDescent="0.25">
      <c r="A42" s="210" t="s">
        <v>341</v>
      </c>
      <c r="B42" s="210">
        <v>0.77000687826401559</v>
      </c>
      <c r="C42"/>
      <c r="D42"/>
      <c r="E42"/>
      <c r="F42"/>
      <c r="G42"/>
      <c r="H42"/>
      <c r="I42"/>
    </row>
    <row r="43" spans="1:9" x14ac:dyDescent="0.25">
      <c r="A43" s="210" t="s">
        <v>342</v>
      </c>
      <c r="B43" s="210">
        <v>3.440527560197798E-2</v>
      </c>
      <c r="C43"/>
      <c r="D43"/>
      <c r="E43"/>
      <c r="F43"/>
      <c r="G43"/>
      <c r="H43"/>
      <c r="I43"/>
    </row>
    <row r="44" spans="1:9" x14ac:dyDescent="0.25">
      <c r="A44" s="210" t="s">
        <v>343</v>
      </c>
      <c r="B44" s="210">
        <v>15</v>
      </c>
      <c r="C44"/>
      <c r="D44"/>
      <c r="E44"/>
      <c r="F44"/>
      <c r="G44"/>
      <c r="H44"/>
      <c r="I44"/>
    </row>
    <row r="45" spans="1:9" x14ac:dyDescent="0.25">
      <c r="A45"/>
      <c r="B45"/>
      <c r="C45"/>
      <c r="D45"/>
      <c r="E45"/>
      <c r="F45"/>
      <c r="G45"/>
      <c r="H45"/>
      <c r="I45"/>
    </row>
    <row r="46" spans="1:9" x14ac:dyDescent="0.25">
      <c r="A46" t="s">
        <v>344</v>
      </c>
      <c r="B46"/>
      <c r="C46"/>
      <c r="D46"/>
      <c r="E46"/>
      <c r="F46"/>
      <c r="G46"/>
      <c r="H46"/>
      <c r="I46"/>
    </row>
    <row r="47" spans="1:9" x14ac:dyDescent="0.25">
      <c r="A47" s="211"/>
      <c r="B47" s="211" t="s">
        <v>348</v>
      </c>
      <c r="C47" s="211" t="s">
        <v>349</v>
      </c>
      <c r="D47" s="211" t="s">
        <v>350</v>
      </c>
      <c r="E47" s="211" t="s">
        <v>351</v>
      </c>
      <c r="F47" s="211" t="s">
        <v>352</v>
      </c>
      <c r="G47"/>
      <c r="H47"/>
      <c r="I47"/>
    </row>
    <row r="48" spans="1:9" x14ac:dyDescent="0.25">
      <c r="A48" s="210" t="s">
        <v>345</v>
      </c>
      <c r="B48" s="210">
        <v>1</v>
      </c>
      <c r="C48" s="210">
        <v>5.6666459669398803E-2</v>
      </c>
      <c r="D48" s="210">
        <v>5.6666459669398803E-2</v>
      </c>
      <c r="E48" s="210">
        <v>47.871385606353016</v>
      </c>
      <c r="F48" s="210">
        <v>1.0547834036911221E-5</v>
      </c>
      <c r="G48"/>
      <c r="H48"/>
      <c r="I48"/>
    </row>
    <row r="49" spans="1:9" x14ac:dyDescent="0.25">
      <c r="A49" s="210" t="s">
        <v>346</v>
      </c>
      <c r="B49" s="210">
        <v>13</v>
      </c>
      <c r="C49" s="210">
        <v>1.5388398860224795E-2</v>
      </c>
      <c r="D49" s="210">
        <v>1.1837229892480612E-3</v>
      </c>
      <c r="E49" s="210"/>
      <c r="F49" s="210"/>
      <c r="G49"/>
      <c r="H49"/>
      <c r="I49"/>
    </row>
    <row r="50" spans="1:9" x14ac:dyDescent="0.25">
      <c r="A50" s="210" t="s">
        <v>303</v>
      </c>
      <c r="B50" s="210">
        <v>14</v>
      </c>
      <c r="C50" s="210">
        <v>7.2054858529623594E-2</v>
      </c>
      <c r="D50" s="210"/>
      <c r="E50" s="210"/>
      <c r="F50" s="210"/>
      <c r="G50"/>
      <c r="H50"/>
      <c r="I50"/>
    </row>
    <row r="51" spans="1:9" x14ac:dyDescent="0.25">
      <c r="A51"/>
      <c r="B51"/>
      <c r="C51"/>
      <c r="D51"/>
      <c r="E51"/>
      <c r="F51"/>
      <c r="G51"/>
      <c r="H51"/>
      <c r="I51"/>
    </row>
    <row r="52" spans="1:9" s="198" customFormat="1" ht="30" x14ac:dyDescent="0.25">
      <c r="A52" s="212"/>
      <c r="B52" s="212" t="s">
        <v>353</v>
      </c>
      <c r="C52" s="212" t="s">
        <v>342</v>
      </c>
      <c r="D52" s="212" t="s">
        <v>354</v>
      </c>
      <c r="E52" s="212" t="s">
        <v>355</v>
      </c>
      <c r="F52" s="212" t="s">
        <v>356</v>
      </c>
      <c r="G52" s="212" t="s">
        <v>357</v>
      </c>
      <c r="H52" s="212" t="s">
        <v>358</v>
      </c>
      <c r="I52" s="212" t="s">
        <v>359</v>
      </c>
    </row>
    <row r="53" spans="1:9" x14ac:dyDescent="0.25">
      <c r="A53" s="210" t="s">
        <v>347</v>
      </c>
      <c r="B53" s="213">
        <v>3.6088058831739017E-3</v>
      </c>
      <c r="C53" s="210">
        <v>1.2727013873902545E-2</v>
      </c>
      <c r="D53" s="210">
        <v>0.28355480075133416</v>
      </c>
      <c r="E53" s="210">
        <v>0.78121706207076536</v>
      </c>
      <c r="F53" s="210">
        <v>-2.3886235980372261E-2</v>
      </c>
      <c r="G53" s="210">
        <v>3.1103847746720065E-2</v>
      </c>
      <c r="H53" s="210">
        <v>-2.3886235980372261E-2</v>
      </c>
      <c r="I53" s="210">
        <v>3.1103847746720065E-2</v>
      </c>
    </row>
    <row r="54" spans="1:9" x14ac:dyDescent="0.25">
      <c r="A54" s="210" t="s">
        <v>360</v>
      </c>
      <c r="B54" s="213">
        <v>7.7983998000856739E-6</v>
      </c>
      <c r="C54" s="210">
        <v>1.1271130997492946E-6</v>
      </c>
      <c r="D54" s="210">
        <v>6.9189150599174853</v>
      </c>
      <c r="E54" s="210">
        <v>1.0547834036911257E-5</v>
      </c>
      <c r="F54" s="210">
        <v>5.3634199870986767E-6</v>
      </c>
      <c r="G54" s="210">
        <v>1.0233379613072671E-5</v>
      </c>
      <c r="H54" s="210">
        <v>5.3634199870986767E-6</v>
      </c>
      <c r="I54" s="210">
        <v>1.0233379613072671E-5</v>
      </c>
    </row>
    <row r="55" spans="1:9" x14ac:dyDescent="0.25">
      <c r="A55"/>
      <c r="B55"/>
      <c r="C55"/>
      <c r="D55"/>
      <c r="E55"/>
      <c r="F55"/>
      <c r="G55"/>
      <c r="H55"/>
      <c r="I55"/>
    </row>
    <row r="56" spans="1:9" x14ac:dyDescent="0.25">
      <c r="A56"/>
      <c r="B56"/>
      <c r="C56"/>
      <c r="D56"/>
      <c r="E56"/>
      <c r="F56"/>
      <c r="G56"/>
      <c r="H56"/>
      <c r="I56"/>
    </row>
    <row r="57" spans="1:9" x14ac:dyDescent="0.25">
      <c r="A57"/>
      <c r="B57"/>
      <c r="C57"/>
      <c r="D57"/>
      <c r="E57"/>
      <c r="F57"/>
      <c r="G57"/>
      <c r="H57"/>
      <c r="I57"/>
    </row>
  </sheetData>
  <mergeCells count="7">
    <mergeCell ref="E5:E7"/>
    <mergeCell ref="F5:F7"/>
    <mergeCell ref="G5:G7"/>
    <mergeCell ref="A5:A7"/>
    <mergeCell ref="B6:B7"/>
    <mergeCell ref="C5:C7"/>
    <mergeCell ref="D5:D7"/>
  </mergeCells>
  <pageMargins left="0.31496062992125984" right="0.31496062992125984" top="0.35433070866141736" bottom="0.35433070866141736" header="0.31496062992125984" footer="0.31496062992125984"/>
  <pageSetup paperSize="9" scale="75" orientation="landscape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workbookViewId="0">
      <selection activeCell="A3" sqref="A3:A51"/>
    </sheetView>
  </sheetViews>
  <sheetFormatPr defaultRowHeight="15" x14ac:dyDescent="0.25"/>
  <cols>
    <col min="1" max="16384" width="9.140625" style="214"/>
  </cols>
  <sheetData>
    <row r="1" spans="1:9" x14ac:dyDescent="0.25">
      <c r="A1" s="218" t="s">
        <v>372</v>
      </c>
    </row>
    <row r="3" spans="1:9" x14ac:dyDescent="0.25">
      <c r="A3" s="214" t="s">
        <v>373</v>
      </c>
    </row>
    <row r="4" spans="1:9" x14ac:dyDescent="0.25">
      <c r="A4" s="214" t="s">
        <v>374</v>
      </c>
    </row>
    <row r="5" spans="1:9" x14ac:dyDescent="0.25">
      <c r="A5" s="214" t="s">
        <v>375</v>
      </c>
    </row>
    <row r="6" spans="1:9" x14ac:dyDescent="0.25">
      <c r="A6" s="214" t="s">
        <v>376</v>
      </c>
    </row>
    <row r="7" spans="1:9" x14ac:dyDescent="0.25">
      <c r="A7" s="214" t="s">
        <v>377</v>
      </c>
    </row>
    <row r="8" spans="1:9" x14ac:dyDescent="0.25">
      <c r="A8" s="214" t="s">
        <v>378</v>
      </c>
    </row>
    <row r="9" spans="1:9" x14ac:dyDescent="0.25">
      <c r="A9" s="214" t="s">
        <v>379</v>
      </c>
    </row>
    <row r="10" spans="1:9" x14ac:dyDescent="0.25">
      <c r="A10" s="214" t="s">
        <v>380</v>
      </c>
      <c r="C10" s="215"/>
      <c r="D10" s="215"/>
      <c r="E10" s="215"/>
      <c r="F10" s="215"/>
      <c r="G10" s="215"/>
      <c r="H10" s="215"/>
      <c r="I10" s="215"/>
    </row>
    <row r="11" spans="1:9" x14ac:dyDescent="0.25">
      <c r="A11" s="214" t="s">
        <v>381</v>
      </c>
      <c r="D11" s="216"/>
    </row>
    <row r="12" spans="1:9" x14ac:dyDescent="0.25">
      <c r="A12" s="214" t="s">
        <v>382</v>
      </c>
      <c r="D12" s="217"/>
    </row>
    <row r="13" spans="1:9" x14ac:dyDescent="0.25">
      <c r="A13" s="214" t="s">
        <v>383</v>
      </c>
    </row>
    <row r="14" spans="1:9" x14ac:dyDescent="0.25">
      <c r="A14" s="214" t="s">
        <v>384</v>
      </c>
    </row>
    <row r="15" spans="1:9" x14ac:dyDescent="0.25">
      <c r="A15" s="214" t="s">
        <v>385</v>
      </c>
    </row>
    <row r="16" spans="1:9" x14ac:dyDescent="0.25">
      <c r="A16" s="214" t="s">
        <v>386</v>
      </c>
    </row>
    <row r="17" spans="1:1" x14ac:dyDescent="0.25">
      <c r="A17" s="214" t="s">
        <v>387</v>
      </c>
    </row>
    <row r="18" spans="1:1" x14ac:dyDescent="0.25">
      <c r="A18" s="214" t="s">
        <v>388</v>
      </c>
    </row>
    <row r="19" spans="1:1" x14ac:dyDescent="0.25">
      <c r="A19" s="214" t="s">
        <v>389</v>
      </c>
    </row>
    <row r="20" spans="1:1" x14ac:dyDescent="0.25">
      <c r="A20" s="214" t="s">
        <v>390</v>
      </c>
    </row>
    <row r="21" spans="1:1" x14ac:dyDescent="0.25">
      <c r="A21" s="214" t="s">
        <v>391</v>
      </c>
    </row>
    <row r="22" spans="1:1" x14ac:dyDescent="0.25">
      <c r="A22" s="214" t="s">
        <v>392</v>
      </c>
    </row>
    <row r="23" spans="1:1" x14ac:dyDescent="0.25">
      <c r="A23" s="214" t="s">
        <v>393</v>
      </c>
    </row>
    <row r="24" spans="1:1" x14ac:dyDescent="0.25">
      <c r="A24" s="214" t="s">
        <v>394</v>
      </c>
    </row>
    <row r="25" spans="1:1" x14ac:dyDescent="0.25">
      <c r="A25" s="214" t="s">
        <v>395</v>
      </c>
    </row>
    <row r="26" spans="1:1" x14ac:dyDescent="0.25">
      <c r="A26" s="214" t="s">
        <v>397</v>
      </c>
    </row>
    <row r="27" spans="1:1" x14ac:dyDescent="0.25">
      <c r="A27" s="214" t="s">
        <v>396</v>
      </c>
    </row>
    <row r="28" spans="1:1" x14ac:dyDescent="0.25">
      <c r="A28" s="214" t="s">
        <v>398</v>
      </c>
    </row>
    <row r="29" spans="1:1" x14ac:dyDescent="0.25">
      <c r="A29" s="214" t="s">
        <v>399</v>
      </c>
    </row>
    <row r="30" spans="1:1" x14ac:dyDescent="0.25">
      <c r="A30" s="214" t="s">
        <v>400</v>
      </c>
    </row>
    <row r="31" spans="1:1" x14ac:dyDescent="0.25">
      <c r="A31" s="214" t="s">
        <v>401</v>
      </c>
    </row>
    <row r="32" spans="1:1" x14ac:dyDescent="0.25">
      <c r="A32" s="214" t="s">
        <v>402</v>
      </c>
    </row>
    <row r="33" spans="1:1" x14ac:dyDescent="0.25">
      <c r="A33" s="214" t="s">
        <v>403</v>
      </c>
    </row>
    <row r="34" spans="1:1" x14ac:dyDescent="0.25">
      <c r="A34" s="214" t="s">
        <v>404</v>
      </c>
    </row>
    <row r="35" spans="1:1" x14ac:dyDescent="0.25">
      <c r="A35" s="214" t="s">
        <v>405</v>
      </c>
    </row>
    <row r="36" spans="1:1" x14ac:dyDescent="0.25">
      <c r="A36" s="214" t="s">
        <v>406</v>
      </c>
    </row>
    <row r="37" spans="1:1" x14ac:dyDescent="0.25">
      <c r="A37" s="214" t="s">
        <v>407</v>
      </c>
    </row>
    <row r="38" spans="1:1" x14ac:dyDescent="0.25">
      <c r="A38" s="214" t="s">
        <v>408</v>
      </c>
    </row>
    <row r="39" spans="1:1" x14ac:dyDescent="0.25">
      <c r="A39" s="214" t="s">
        <v>409</v>
      </c>
    </row>
    <row r="40" spans="1:1" x14ac:dyDescent="0.25">
      <c r="A40" s="214" t="s">
        <v>410</v>
      </c>
    </row>
    <row r="41" spans="1:1" x14ac:dyDescent="0.25">
      <c r="A41" s="214" t="s">
        <v>411</v>
      </c>
    </row>
    <row r="42" spans="1:1" x14ac:dyDescent="0.25">
      <c r="A42" s="214" t="s">
        <v>412</v>
      </c>
    </row>
    <row r="43" spans="1:1" x14ac:dyDescent="0.25">
      <c r="A43" s="214" t="s">
        <v>413</v>
      </c>
    </row>
    <row r="44" spans="1:1" x14ac:dyDescent="0.25">
      <c r="A44" s="214" t="s">
        <v>414</v>
      </c>
    </row>
    <row r="45" spans="1:1" x14ac:dyDescent="0.25">
      <c r="A45" s="214" t="s">
        <v>415</v>
      </c>
    </row>
    <row r="46" spans="1:1" x14ac:dyDescent="0.25">
      <c r="A46" s="214" t="s">
        <v>416</v>
      </c>
    </row>
    <row r="47" spans="1:1" x14ac:dyDescent="0.25">
      <c r="A47" s="214" t="s">
        <v>417</v>
      </c>
    </row>
    <row r="48" spans="1:1" x14ac:dyDescent="0.25">
      <c r="A48" s="214" t="s">
        <v>418</v>
      </c>
    </row>
    <row r="49" spans="1:1" x14ac:dyDescent="0.25">
      <c r="A49" s="214" t="s">
        <v>419</v>
      </c>
    </row>
    <row r="50" spans="1:1" x14ac:dyDescent="0.25">
      <c r="A50" s="214" t="s">
        <v>420</v>
      </c>
    </row>
    <row r="51" spans="1:1" x14ac:dyDescent="0.25">
      <c r="A51" s="214" t="s">
        <v>421</v>
      </c>
    </row>
  </sheetData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6"/>
  <sheetViews>
    <sheetView view="pageBreakPreview" zoomScale="82" zoomScaleNormal="80" zoomScaleSheetLayoutView="82" workbookViewId="0">
      <selection activeCell="A5" sqref="A5:C29"/>
    </sheetView>
  </sheetViews>
  <sheetFormatPr defaultRowHeight="15" x14ac:dyDescent="0.25"/>
  <cols>
    <col min="2" max="2" width="12.140625" customWidth="1"/>
    <col min="3" max="3" width="16" customWidth="1"/>
    <col min="4" max="4" width="10.85546875" customWidth="1"/>
    <col min="5" max="5" width="14.42578125" customWidth="1"/>
    <col min="6" max="6" width="13" customWidth="1"/>
    <col min="7" max="7" width="13.42578125" customWidth="1"/>
    <col min="8" max="8" width="13.5703125" customWidth="1"/>
    <col min="9" max="9" width="11.5703125" bestFit="1" customWidth="1"/>
  </cols>
  <sheetData>
    <row r="1" spans="1:13" x14ac:dyDescent="0.25">
      <c r="A1" s="141" t="s">
        <v>462</v>
      </c>
    </row>
    <row r="3" spans="1:13" x14ac:dyDescent="0.25">
      <c r="A3" s="141" t="s">
        <v>440</v>
      </c>
    </row>
    <row r="5" spans="1:13" ht="32.25" customHeight="1" x14ac:dyDescent="0.25">
      <c r="A5" s="454" t="s">
        <v>422</v>
      </c>
      <c r="B5" s="445" t="s">
        <v>428</v>
      </c>
      <c r="C5" s="454" t="s">
        <v>423</v>
      </c>
      <c r="D5" s="454" t="s">
        <v>448</v>
      </c>
      <c r="E5" s="454"/>
      <c r="F5" s="454"/>
      <c r="G5" s="454"/>
      <c r="H5" s="454"/>
      <c r="I5" s="454"/>
    </row>
    <row r="6" spans="1:13" ht="15" customHeight="1" x14ac:dyDescent="0.25">
      <c r="A6" s="454"/>
      <c r="B6" s="445"/>
      <c r="C6" s="454"/>
      <c r="D6" s="454" t="s">
        <v>424</v>
      </c>
      <c r="E6" s="454"/>
      <c r="F6" s="454" t="s">
        <v>427</v>
      </c>
      <c r="G6" s="454"/>
      <c r="H6" s="454"/>
      <c r="I6" s="454"/>
    </row>
    <row r="7" spans="1:13" ht="24.75" customHeight="1" x14ac:dyDescent="0.25">
      <c r="A7" s="454"/>
      <c r="B7" s="445"/>
      <c r="C7" s="454"/>
      <c r="D7" s="454"/>
      <c r="E7" s="454"/>
      <c r="F7" s="454"/>
      <c r="G7" s="454"/>
      <c r="H7" s="454"/>
      <c r="I7" s="454"/>
    </row>
    <row r="8" spans="1:13" ht="28.5" customHeight="1" x14ac:dyDescent="0.25">
      <c r="A8" s="454"/>
      <c r="B8" s="445"/>
      <c r="C8" s="454"/>
      <c r="D8" s="454" t="s">
        <v>425</v>
      </c>
      <c r="E8" s="454" t="s">
        <v>426</v>
      </c>
      <c r="F8" s="454" t="s">
        <v>435</v>
      </c>
      <c r="G8" s="454"/>
      <c r="H8" s="448" t="s">
        <v>436</v>
      </c>
      <c r="I8" s="448"/>
      <c r="J8" s="117"/>
      <c r="K8" s="117"/>
      <c r="L8" s="117"/>
      <c r="M8" s="117"/>
    </row>
    <row r="9" spans="1:13" ht="52.5" customHeight="1" x14ac:dyDescent="0.25">
      <c r="A9" s="454"/>
      <c r="B9" s="445"/>
      <c r="C9" s="454"/>
      <c r="D9" s="454"/>
      <c r="E9" s="454"/>
      <c r="F9" s="231" t="s">
        <v>437</v>
      </c>
      <c r="G9" s="220" t="s">
        <v>438</v>
      </c>
      <c r="H9" s="220" t="s">
        <v>439</v>
      </c>
      <c r="I9" s="232" t="s">
        <v>438</v>
      </c>
      <c r="J9" s="117"/>
      <c r="K9" s="117"/>
      <c r="L9" s="117"/>
      <c r="M9" s="117"/>
    </row>
    <row r="10" spans="1:13" ht="15.75" x14ac:dyDescent="0.25">
      <c r="A10" s="228">
        <v>1993</v>
      </c>
      <c r="B10" s="221">
        <v>1</v>
      </c>
      <c r="C10" s="229">
        <v>696.2</v>
      </c>
      <c r="D10" s="133"/>
      <c r="E10" s="133"/>
      <c r="F10" s="228"/>
      <c r="G10" s="133"/>
      <c r="H10" s="133"/>
      <c r="I10" s="233"/>
    </row>
    <row r="11" spans="1:13" ht="15.75" x14ac:dyDescent="0.25">
      <c r="A11" s="228">
        <v>1994</v>
      </c>
      <c r="B11" s="221">
        <v>2</v>
      </c>
      <c r="C11" s="229">
        <v>735.9</v>
      </c>
      <c r="D11" s="234">
        <f>(C10+C11+C12)/3</f>
        <v>828.06666666666661</v>
      </c>
      <c r="E11" s="234"/>
      <c r="F11" s="229">
        <f>(C10+C11+C12+C13)/4</f>
        <v>958.65</v>
      </c>
      <c r="G11" s="234"/>
      <c r="H11" s="234"/>
      <c r="I11" s="235"/>
    </row>
    <row r="12" spans="1:13" ht="15.75" x14ac:dyDescent="0.25">
      <c r="A12" s="228">
        <v>1995</v>
      </c>
      <c r="B12" s="128">
        <v>3</v>
      </c>
      <c r="C12" s="229">
        <v>1052.0999999999999</v>
      </c>
      <c r="D12" s="234">
        <f t="shared" ref="D12:D28" si="0">(C11+C12+C13)/3</f>
        <v>1046.1333333333334</v>
      </c>
      <c r="E12" s="236">
        <f>(C10+C11+C12+C13+C14)/5</f>
        <v>1056.02</v>
      </c>
      <c r="F12" s="229">
        <f t="shared" ref="F12:F26" si="1">(C11+C12+C13+C14)/4</f>
        <v>1145.9749999999999</v>
      </c>
      <c r="G12" s="234">
        <f>(F11+F12)/2</f>
        <v>1052.3125</v>
      </c>
      <c r="H12" s="234">
        <f>(C10+C11+C12+C13+C14+C15)/6</f>
        <v>1124.8</v>
      </c>
      <c r="I12" s="235"/>
    </row>
    <row r="13" spans="1:13" ht="15.75" x14ac:dyDescent="0.25">
      <c r="A13" s="228">
        <v>1996</v>
      </c>
      <c r="B13" s="128">
        <v>4</v>
      </c>
      <c r="C13" s="229">
        <v>1350.4</v>
      </c>
      <c r="D13" s="234">
        <f t="shared" si="0"/>
        <v>1282.6666666666667</v>
      </c>
      <c r="E13" s="236">
        <f t="shared" ref="E13:E27" si="2">(C11+C12+C13+C14+C15)/5</f>
        <v>1210.52</v>
      </c>
      <c r="F13" s="229">
        <f t="shared" si="1"/>
        <v>1329.175</v>
      </c>
      <c r="G13" s="234">
        <f t="shared" ref="G13:G26" si="3">(F12+F13)/2</f>
        <v>1237.5749999999998</v>
      </c>
      <c r="H13" s="234">
        <f t="shared" ref="H13:H25" si="4">(C11+C12+C13+C14+C15+C16)/6</f>
        <v>1197.1166666666666</v>
      </c>
      <c r="I13" s="235">
        <f>(H12+H13)/2</f>
        <v>1160.9583333333333</v>
      </c>
    </row>
    <row r="14" spans="1:13" ht="15.75" x14ac:dyDescent="0.25">
      <c r="A14" s="228">
        <v>1997</v>
      </c>
      <c r="B14" s="128">
        <v>5</v>
      </c>
      <c r="C14" s="229">
        <v>1445.5</v>
      </c>
      <c r="D14" s="234">
        <f t="shared" si="0"/>
        <v>1421.5333333333335</v>
      </c>
      <c r="E14" s="236">
        <f t="shared" si="2"/>
        <v>1289.3599999999999</v>
      </c>
      <c r="F14" s="229">
        <f t="shared" si="1"/>
        <v>1348.6750000000002</v>
      </c>
      <c r="G14" s="234">
        <f t="shared" si="3"/>
        <v>1338.9250000000002</v>
      </c>
      <c r="H14" s="234">
        <f t="shared" si="4"/>
        <v>1279.3</v>
      </c>
      <c r="I14" s="235">
        <f t="shared" ref="I14:I25" si="5">(H13+H14)/2</f>
        <v>1238.2083333333333</v>
      </c>
    </row>
    <row r="15" spans="1:13" ht="15.75" x14ac:dyDescent="0.25">
      <c r="A15" s="228">
        <v>1998</v>
      </c>
      <c r="B15" s="128">
        <v>6</v>
      </c>
      <c r="C15" s="229">
        <v>1468.7</v>
      </c>
      <c r="D15" s="234">
        <f t="shared" si="0"/>
        <v>1348.1</v>
      </c>
      <c r="E15" s="236">
        <f t="shared" si="2"/>
        <v>1324.7400000000002</v>
      </c>
      <c r="F15" s="229">
        <f t="shared" si="1"/>
        <v>1318.3249999999998</v>
      </c>
      <c r="G15" s="234">
        <f t="shared" si="3"/>
        <v>1333.5</v>
      </c>
      <c r="H15" s="234">
        <f t="shared" si="4"/>
        <v>1352.4333333333334</v>
      </c>
      <c r="I15" s="235">
        <f t="shared" si="5"/>
        <v>1315.8666666666668</v>
      </c>
    </row>
    <row r="16" spans="1:13" ht="15.75" x14ac:dyDescent="0.25">
      <c r="A16" s="228">
        <v>1999</v>
      </c>
      <c r="B16" s="128">
        <v>7</v>
      </c>
      <c r="C16" s="229">
        <v>1130.0999999999999</v>
      </c>
      <c r="D16" s="234">
        <f t="shared" si="0"/>
        <v>1275.9333333333334</v>
      </c>
      <c r="E16" s="236">
        <f t="shared" si="2"/>
        <v>1352.8399999999997</v>
      </c>
      <c r="F16" s="229">
        <f t="shared" si="1"/>
        <v>1329.6750000000002</v>
      </c>
      <c r="G16" s="234">
        <f t="shared" si="3"/>
        <v>1324</v>
      </c>
      <c r="H16" s="234">
        <f t="shared" si="4"/>
        <v>1403.6999999999998</v>
      </c>
      <c r="I16" s="235">
        <f t="shared" si="5"/>
        <v>1378.0666666666666</v>
      </c>
    </row>
    <row r="17" spans="1:9" ht="15.75" x14ac:dyDescent="0.25">
      <c r="A17" s="228">
        <v>2000</v>
      </c>
      <c r="B17" s="128">
        <v>8</v>
      </c>
      <c r="C17" s="229">
        <v>1229</v>
      </c>
      <c r="D17" s="234">
        <f t="shared" si="0"/>
        <v>1283.3333333333333</v>
      </c>
      <c r="E17" s="236">
        <f t="shared" si="2"/>
        <v>1395.3400000000001</v>
      </c>
      <c r="F17" s="229">
        <f t="shared" si="1"/>
        <v>1377</v>
      </c>
      <c r="G17" s="234">
        <f t="shared" si="3"/>
        <v>1353.3375000000001</v>
      </c>
      <c r="H17" s="234">
        <f t="shared" si="4"/>
        <v>1507.4666666666669</v>
      </c>
      <c r="I17" s="235">
        <f t="shared" si="5"/>
        <v>1455.5833333333335</v>
      </c>
    </row>
    <row r="18" spans="1:9" ht="15.75" x14ac:dyDescent="0.25">
      <c r="A18" s="228">
        <v>2001</v>
      </c>
      <c r="B18" s="128">
        <v>9</v>
      </c>
      <c r="C18" s="229">
        <v>1490.9</v>
      </c>
      <c r="D18" s="234">
        <f t="shared" si="0"/>
        <v>1459.3</v>
      </c>
      <c r="E18" s="236">
        <f t="shared" si="2"/>
        <v>1515.22</v>
      </c>
      <c r="F18" s="229">
        <f t="shared" si="1"/>
        <v>1611.5</v>
      </c>
      <c r="G18" s="234">
        <f t="shared" si="3"/>
        <v>1494.25</v>
      </c>
      <c r="H18" s="234">
        <f t="shared" si="4"/>
        <v>1741.7166666666665</v>
      </c>
      <c r="I18" s="235">
        <f t="shared" si="5"/>
        <v>1624.5916666666667</v>
      </c>
    </row>
    <row r="19" spans="1:9" ht="15.75" x14ac:dyDescent="0.25">
      <c r="A19" s="228">
        <v>2002</v>
      </c>
      <c r="B19" s="128">
        <v>10</v>
      </c>
      <c r="C19" s="229">
        <v>1658</v>
      </c>
      <c r="D19" s="234">
        <f t="shared" si="0"/>
        <v>1739</v>
      </c>
      <c r="E19" s="236">
        <f t="shared" si="2"/>
        <v>1864.0400000000002</v>
      </c>
      <c r="F19" s="229">
        <f t="shared" si="1"/>
        <v>2022.8</v>
      </c>
      <c r="G19" s="234">
        <f t="shared" si="3"/>
        <v>1817.15</v>
      </c>
      <c r="H19" s="234">
        <f t="shared" si="4"/>
        <v>2181.9166666666665</v>
      </c>
      <c r="I19" s="235">
        <f t="shared" si="5"/>
        <v>1961.8166666666666</v>
      </c>
    </row>
    <row r="20" spans="1:9" ht="15.75" x14ac:dyDescent="0.25">
      <c r="A20" s="228">
        <v>2003</v>
      </c>
      <c r="B20" s="128">
        <v>11</v>
      </c>
      <c r="C20" s="229">
        <v>2068.1</v>
      </c>
      <c r="D20" s="234">
        <f t="shared" si="0"/>
        <v>2200.1</v>
      </c>
      <c r="E20" s="236">
        <f t="shared" si="2"/>
        <v>2372.5</v>
      </c>
      <c r="F20" s="229">
        <f t="shared" si="1"/>
        <v>2592.8999999999996</v>
      </c>
      <c r="G20" s="234">
        <f t="shared" si="3"/>
        <v>2307.85</v>
      </c>
      <c r="H20" s="234">
        <f t="shared" si="4"/>
        <v>2859.0166666666664</v>
      </c>
      <c r="I20" s="235">
        <f t="shared" si="5"/>
        <v>2520.4666666666662</v>
      </c>
    </row>
    <row r="21" spans="1:9" ht="15.75" x14ac:dyDescent="0.25">
      <c r="A21" s="228">
        <v>2004</v>
      </c>
      <c r="B21" s="128">
        <v>12</v>
      </c>
      <c r="C21" s="229">
        <v>2874.2</v>
      </c>
      <c r="D21" s="234">
        <f t="shared" si="0"/>
        <v>2904.5333333333328</v>
      </c>
      <c r="E21" s="236">
        <f t="shared" si="2"/>
        <v>3132.64</v>
      </c>
      <c r="F21" s="229">
        <f t="shared" si="1"/>
        <v>3501.2999999999997</v>
      </c>
      <c r="G21" s="234">
        <f t="shared" si="3"/>
        <v>3047.0999999999995</v>
      </c>
      <c r="H21" s="234">
        <f t="shared" si="4"/>
        <v>3739.1333333333332</v>
      </c>
      <c r="I21" s="235">
        <f t="shared" si="5"/>
        <v>3299.0749999999998</v>
      </c>
    </row>
    <row r="22" spans="1:9" ht="15.75" x14ac:dyDescent="0.25">
      <c r="A22" s="228">
        <v>2005</v>
      </c>
      <c r="B22" s="128">
        <v>13</v>
      </c>
      <c r="C22" s="229">
        <v>3771.3</v>
      </c>
      <c r="D22" s="234">
        <f t="shared" si="0"/>
        <v>3979.0333333333333</v>
      </c>
      <c r="E22" s="236">
        <f t="shared" si="2"/>
        <v>4155.3599999999997</v>
      </c>
      <c r="F22" s="229">
        <f t="shared" si="1"/>
        <v>4677.1750000000002</v>
      </c>
      <c r="G22" s="234">
        <f t="shared" si="3"/>
        <v>4089.2375000000002</v>
      </c>
      <c r="H22" s="234">
        <f t="shared" si="4"/>
        <v>4881.7166666666662</v>
      </c>
      <c r="I22" s="235">
        <f t="shared" si="5"/>
        <v>4310.4249999999993</v>
      </c>
    </row>
    <row r="23" spans="1:9" ht="15.75" x14ac:dyDescent="0.25">
      <c r="A23" s="228">
        <v>2006</v>
      </c>
      <c r="B23" s="128">
        <v>14</v>
      </c>
      <c r="C23" s="229">
        <v>5291.6</v>
      </c>
      <c r="D23" s="234">
        <f t="shared" si="0"/>
        <v>5278.166666666667</v>
      </c>
      <c r="E23" s="236">
        <f t="shared" si="2"/>
        <v>5444.4400000000005</v>
      </c>
      <c r="F23" s="229">
        <f t="shared" si="1"/>
        <v>6087</v>
      </c>
      <c r="G23" s="234">
        <f t="shared" si="3"/>
        <v>5382.0874999999996</v>
      </c>
      <c r="H23" s="234">
        <f t="shared" si="4"/>
        <v>5731.166666666667</v>
      </c>
      <c r="I23" s="235">
        <f t="shared" si="5"/>
        <v>5306.4416666666666</v>
      </c>
    </row>
    <row r="24" spans="1:9" ht="15.75" x14ac:dyDescent="0.25">
      <c r="A24" s="228">
        <v>2007</v>
      </c>
      <c r="B24" s="128">
        <v>15</v>
      </c>
      <c r="C24" s="229">
        <v>6771.6</v>
      </c>
      <c r="D24" s="234">
        <f t="shared" si="0"/>
        <v>6858.9000000000005</v>
      </c>
      <c r="E24" s="236">
        <f t="shared" si="2"/>
        <v>6302.5599999999995</v>
      </c>
      <c r="F24" s="229">
        <f t="shared" si="1"/>
        <v>6935.375</v>
      </c>
      <c r="G24" s="234">
        <f t="shared" si="3"/>
        <v>6511.1875</v>
      </c>
      <c r="H24" s="234">
        <f t="shared" si="4"/>
        <v>6763.8</v>
      </c>
      <c r="I24" s="235">
        <f t="shared" si="5"/>
        <v>6247.4833333333336</v>
      </c>
    </row>
    <row r="25" spans="1:9" ht="15.75" x14ac:dyDescent="0.25">
      <c r="A25" s="228">
        <v>2008</v>
      </c>
      <c r="B25" s="128">
        <v>16</v>
      </c>
      <c r="C25" s="229">
        <v>8513.5</v>
      </c>
      <c r="D25" s="234">
        <f t="shared" si="0"/>
        <v>7483.3</v>
      </c>
      <c r="E25" s="236">
        <f t="shared" si="2"/>
        <v>7362.3</v>
      </c>
      <c r="F25" s="229">
        <f t="shared" si="1"/>
        <v>7879.9750000000004</v>
      </c>
      <c r="G25" s="234">
        <f t="shared" si="3"/>
        <v>7407.6750000000002</v>
      </c>
      <c r="H25" s="234">
        <f t="shared" si="4"/>
        <v>8028.0166666666664</v>
      </c>
      <c r="I25" s="235">
        <f t="shared" si="5"/>
        <v>7395.9083333333328</v>
      </c>
    </row>
    <row r="26" spans="1:9" ht="15.75" x14ac:dyDescent="0.25">
      <c r="A26" s="228">
        <v>2009</v>
      </c>
      <c r="B26" s="128">
        <v>17</v>
      </c>
      <c r="C26" s="229">
        <v>7164.8</v>
      </c>
      <c r="D26" s="234">
        <f t="shared" si="0"/>
        <v>8249.4333333333325</v>
      </c>
      <c r="E26" s="236">
        <f t="shared" si="2"/>
        <v>8575.2999999999993</v>
      </c>
      <c r="F26" s="229">
        <f t="shared" si="1"/>
        <v>9026.2250000000004</v>
      </c>
      <c r="G26" s="234">
        <f t="shared" si="3"/>
        <v>8453.1</v>
      </c>
      <c r="H26" s="234">
        <f>(C24+C25+C26+C27+C28+C29)/6</f>
        <v>9165.9</v>
      </c>
      <c r="I26" s="235">
        <f>(H25+H26)/2</f>
        <v>8596.9583333333321</v>
      </c>
    </row>
    <row r="27" spans="1:9" ht="15.75" x14ac:dyDescent="0.25">
      <c r="A27" s="228">
        <v>2010</v>
      </c>
      <c r="B27" s="128">
        <v>18</v>
      </c>
      <c r="C27" s="229">
        <v>9070</v>
      </c>
      <c r="D27" s="234">
        <f t="shared" si="0"/>
        <v>9197.1333333333332</v>
      </c>
      <c r="E27" s="236">
        <f t="shared" si="2"/>
        <v>9644.76</v>
      </c>
      <c r="F27" s="229">
        <f>(C26+C27+C28+C29)/4</f>
        <v>9927.5750000000007</v>
      </c>
      <c r="G27" s="234">
        <f>(F26+F27)/2</f>
        <v>9476.9000000000015</v>
      </c>
      <c r="H27" s="234"/>
      <c r="I27" s="235"/>
    </row>
    <row r="28" spans="1:9" ht="15.75" x14ac:dyDescent="0.25">
      <c r="A28" s="228">
        <v>2011</v>
      </c>
      <c r="B28" s="221">
        <v>19</v>
      </c>
      <c r="C28" s="229">
        <v>11356.6</v>
      </c>
      <c r="D28" s="234">
        <f t="shared" si="0"/>
        <v>10848.5</v>
      </c>
      <c r="E28" s="234"/>
      <c r="F28" s="228"/>
      <c r="G28" s="133"/>
      <c r="H28" s="133"/>
      <c r="I28" s="233"/>
    </row>
    <row r="29" spans="1:9" ht="15.75" x14ac:dyDescent="0.25">
      <c r="A29" s="228">
        <v>2012</v>
      </c>
      <c r="B29" s="221">
        <v>20</v>
      </c>
      <c r="C29" s="229">
        <v>12118.9</v>
      </c>
      <c r="D29" s="234"/>
      <c r="E29" s="234"/>
      <c r="F29" s="228"/>
      <c r="G29" s="133"/>
      <c r="H29" s="133"/>
      <c r="I29" s="233"/>
    </row>
    <row r="30" spans="1:9" x14ac:dyDescent="0.25">
      <c r="E30" s="230"/>
    </row>
    <row r="31" spans="1:9" x14ac:dyDescent="0.25">
      <c r="A31" t="s">
        <v>429</v>
      </c>
    </row>
    <row r="32" spans="1:9" x14ac:dyDescent="0.25">
      <c r="A32" t="s">
        <v>431</v>
      </c>
    </row>
    <row r="33" spans="1:14" x14ac:dyDescent="0.25">
      <c r="A33" t="s">
        <v>430</v>
      </c>
    </row>
    <row r="34" spans="1:14" x14ac:dyDescent="0.25">
      <c r="A34" t="s">
        <v>432</v>
      </c>
    </row>
    <row r="35" spans="1:14" ht="30.75" customHeight="1" x14ac:dyDescent="0.25">
      <c r="A35" s="477" t="s">
        <v>433</v>
      </c>
      <c r="B35" s="477"/>
      <c r="C35" s="477"/>
      <c r="D35" s="477"/>
      <c r="E35" s="477"/>
      <c r="F35" s="477"/>
      <c r="G35" s="477"/>
      <c r="H35" s="477"/>
      <c r="I35" s="477"/>
      <c r="J35" s="477"/>
      <c r="K35" s="477"/>
      <c r="L35" s="477"/>
      <c r="M35" s="477"/>
      <c r="N35" s="477"/>
    </row>
    <row r="36" spans="1:14" ht="33" customHeight="1" x14ac:dyDescent="0.25">
      <c r="A36" s="477" t="s">
        <v>434</v>
      </c>
      <c r="B36" s="477"/>
      <c r="C36" s="477"/>
      <c r="D36" s="477"/>
      <c r="E36" s="477"/>
      <c r="F36" s="477"/>
      <c r="G36" s="477"/>
      <c r="H36" s="477"/>
      <c r="I36" s="477"/>
      <c r="J36" s="477"/>
      <c r="K36" s="477"/>
      <c r="L36" s="477"/>
      <c r="M36" s="477"/>
      <c r="N36" s="477"/>
    </row>
    <row r="37" spans="1:14" x14ac:dyDescent="0.25">
      <c r="A37" s="126"/>
      <c r="B37" s="126"/>
      <c r="C37" s="126"/>
      <c r="D37" s="126"/>
      <c r="E37" s="126"/>
      <c r="F37" s="126"/>
      <c r="G37" s="126"/>
      <c r="H37" s="126"/>
      <c r="I37" s="126"/>
      <c r="J37" s="126"/>
      <c r="K37" s="126"/>
      <c r="L37" s="126"/>
      <c r="M37" s="126"/>
      <c r="N37" s="126"/>
    </row>
    <row r="59" spans="1:1" x14ac:dyDescent="0.25">
      <c r="A59" t="s">
        <v>441</v>
      </c>
    </row>
    <row r="61" spans="1:1" x14ac:dyDescent="0.25">
      <c r="A61" t="s">
        <v>442</v>
      </c>
    </row>
    <row r="62" spans="1:1" x14ac:dyDescent="0.25">
      <c r="A62" t="s">
        <v>443</v>
      </c>
    </row>
    <row r="63" spans="1:1" x14ac:dyDescent="0.25">
      <c r="A63" t="s">
        <v>446</v>
      </c>
    </row>
    <row r="65" spans="1:11" x14ac:dyDescent="0.25">
      <c r="A65" s="141" t="s">
        <v>444</v>
      </c>
    </row>
    <row r="67" spans="1:11" x14ac:dyDescent="0.25">
      <c r="A67" s="454" t="s">
        <v>422</v>
      </c>
      <c r="B67" s="445" t="s">
        <v>428</v>
      </c>
      <c r="C67" s="454" t="s">
        <v>423</v>
      </c>
      <c r="D67" s="448" t="s">
        <v>448</v>
      </c>
      <c r="E67" s="448"/>
      <c r="F67" s="448"/>
      <c r="G67" s="448"/>
      <c r="H67" s="448"/>
      <c r="I67" s="448"/>
      <c r="J67" s="448"/>
      <c r="K67" s="448"/>
    </row>
    <row r="68" spans="1:11" x14ac:dyDescent="0.25">
      <c r="A68" s="454"/>
      <c r="B68" s="445"/>
      <c r="C68" s="454"/>
      <c r="D68" s="478">
        <v>2</v>
      </c>
      <c r="E68" s="478"/>
      <c r="F68" s="223">
        <v>3</v>
      </c>
      <c r="G68" s="478">
        <v>4</v>
      </c>
      <c r="H68" s="478"/>
      <c r="I68" s="223">
        <v>5</v>
      </c>
      <c r="J68" s="448">
        <v>6</v>
      </c>
      <c r="K68" s="448"/>
    </row>
    <row r="69" spans="1:11" s="126" customFormat="1" ht="30" customHeight="1" x14ac:dyDescent="0.25">
      <c r="A69" s="454"/>
      <c r="B69" s="445"/>
      <c r="C69" s="454"/>
      <c r="D69" s="445" t="s">
        <v>449</v>
      </c>
      <c r="E69" s="445" t="s">
        <v>451</v>
      </c>
      <c r="F69" s="445" t="s">
        <v>450</v>
      </c>
      <c r="G69" s="445" t="s">
        <v>452</v>
      </c>
      <c r="H69" s="445" t="s">
        <v>453</v>
      </c>
      <c r="I69" s="445" t="s">
        <v>451</v>
      </c>
      <c r="J69" s="445" t="s">
        <v>449</v>
      </c>
      <c r="K69" s="445" t="s">
        <v>451</v>
      </c>
    </row>
    <row r="70" spans="1:11" x14ac:dyDescent="0.25">
      <c r="A70" s="454"/>
      <c r="B70" s="445"/>
      <c r="C70" s="454"/>
      <c r="D70" s="445"/>
      <c r="E70" s="445"/>
      <c r="F70" s="445"/>
      <c r="G70" s="445"/>
      <c r="H70" s="445"/>
      <c r="I70" s="445"/>
      <c r="J70" s="445"/>
      <c r="K70" s="445"/>
    </row>
    <row r="71" spans="1:11" x14ac:dyDescent="0.25">
      <c r="A71" s="454"/>
      <c r="B71" s="445"/>
      <c r="C71" s="454"/>
      <c r="D71" s="445"/>
      <c r="E71" s="445"/>
      <c r="F71" s="445"/>
      <c r="G71" s="445"/>
      <c r="H71" s="445"/>
      <c r="I71" s="445"/>
      <c r="J71" s="445"/>
      <c r="K71" s="445"/>
    </row>
    <row r="72" spans="1:11" ht="15.75" x14ac:dyDescent="0.25">
      <c r="A72" s="228">
        <v>1993</v>
      </c>
      <c r="B72" s="221">
        <v>1</v>
      </c>
      <c r="C72" s="229">
        <v>696.2</v>
      </c>
      <c r="D72" s="221">
        <f>(C72+C73)/2</f>
        <v>716.05</v>
      </c>
      <c r="E72" s="133"/>
      <c r="F72" s="133"/>
      <c r="G72" s="133"/>
      <c r="H72" s="133"/>
      <c r="I72" s="133"/>
      <c r="J72" s="133"/>
      <c r="K72" s="133"/>
    </row>
    <row r="73" spans="1:11" ht="15.75" x14ac:dyDescent="0.25">
      <c r="A73" s="228">
        <v>1994</v>
      </c>
      <c r="B73" s="221">
        <v>2</v>
      </c>
      <c r="C73" s="229">
        <v>735.9</v>
      </c>
      <c r="D73" s="221">
        <f t="shared" ref="D73:D89" si="6">(C73+C74)/2</f>
        <v>894</v>
      </c>
      <c r="E73" s="133">
        <f>(D72+D73)/2</f>
        <v>805.02499999999998</v>
      </c>
      <c r="F73" s="221">
        <f>(C72+2*C73+C74)/4</f>
        <v>805.02499999999998</v>
      </c>
      <c r="G73" s="133">
        <f>(C72+3*C73+3*C74+C75)/8</f>
        <v>926.32499999999982</v>
      </c>
      <c r="H73" s="133"/>
      <c r="I73" s="133"/>
      <c r="J73" s="133"/>
      <c r="K73" s="133"/>
    </row>
    <row r="74" spans="1:11" ht="15.75" x14ac:dyDescent="0.25">
      <c r="A74" s="228">
        <v>1995</v>
      </c>
      <c r="B74" s="221">
        <v>3</v>
      </c>
      <c r="C74" s="229">
        <v>1052.0999999999999</v>
      </c>
      <c r="D74" s="221">
        <f t="shared" si="6"/>
        <v>1201.25</v>
      </c>
      <c r="E74" s="133">
        <f t="shared" ref="E74:E90" si="7">(D73+D74)/2</f>
        <v>1047.625</v>
      </c>
      <c r="F74" s="221">
        <f>(C73+2*C74+C75)/4</f>
        <v>1047.625</v>
      </c>
      <c r="G74" s="133">
        <f t="shared" ref="G74:G88" si="8">(C73+3*C74+3*C75+C76)/8</f>
        <v>1173.6125</v>
      </c>
      <c r="H74" s="133">
        <f>(G73+G74)/2</f>
        <v>1049.96875</v>
      </c>
      <c r="I74" s="221">
        <f>(C72+4*C73+6*C74+4*C75+C76)/16</f>
        <v>1049.96875</v>
      </c>
      <c r="J74" s="133">
        <f>(C72+5*C73+10*C74+10*C75+5*C76+C77)/32</f>
        <v>1159.2781249999998</v>
      </c>
      <c r="K74" s="133"/>
    </row>
    <row r="75" spans="1:11" ht="15.75" x14ac:dyDescent="0.25">
      <c r="A75" s="228">
        <v>1996</v>
      </c>
      <c r="B75" s="221">
        <v>4</v>
      </c>
      <c r="C75" s="229">
        <v>1350.4</v>
      </c>
      <c r="D75" s="221">
        <f t="shared" si="6"/>
        <v>1397.95</v>
      </c>
      <c r="E75" s="133">
        <f t="shared" si="7"/>
        <v>1299.5999999999999</v>
      </c>
      <c r="F75" s="221">
        <f t="shared" ref="F75:F89" si="9">(C74+2*C75+C76)/4</f>
        <v>1299.5999999999999</v>
      </c>
      <c r="G75" s="133">
        <f t="shared" si="8"/>
        <v>1363.5625</v>
      </c>
      <c r="H75" s="133">
        <f t="shared" ref="H75:H87" si="10">(G74+G75)/2</f>
        <v>1268.5875000000001</v>
      </c>
      <c r="I75" s="221">
        <f t="shared" ref="I75:I89" si="11">(C73+4*C74+6*C75+4*C76+C77)/16</f>
        <v>1268.5875000000001</v>
      </c>
      <c r="J75" s="133">
        <f t="shared" ref="J75:J88" si="12">(C73+5*C74+10*C75+10*C76+5*C77+C78)/32</f>
        <v>1325.90625</v>
      </c>
      <c r="K75" s="133">
        <f>(J74+J75)/2</f>
        <v>1242.5921874999999</v>
      </c>
    </row>
    <row r="76" spans="1:11" ht="15.75" x14ac:dyDescent="0.25">
      <c r="A76" s="228">
        <v>1997</v>
      </c>
      <c r="B76" s="221">
        <v>5</v>
      </c>
      <c r="C76" s="229">
        <v>1445.5</v>
      </c>
      <c r="D76" s="221">
        <f t="shared" si="6"/>
        <v>1457.1</v>
      </c>
      <c r="E76" s="133">
        <f t="shared" si="7"/>
        <v>1427.5250000000001</v>
      </c>
      <c r="F76" s="221">
        <f t="shared" si="9"/>
        <v>1427.5249999999999</v>
      </c>
      <c r="G76" s="133">
        <f t="shared" si="8"/>
        <v>1402.8875</v>
      </c>
      <c r="H76" s="133">
        <f t="shared" si="10"/>
        <v>1383.2249999999999</v>
      </c>
      <c r="I76" s="221">
        <f t="shared" si="11"/>
        <v>1383.2249999999999</v>
      </c>
      <c r="J76" s="133">
        <f t="shared" si="12"/>
        <v>1369.55</v>
      </c>
      <c r="K76" s="133">
        <f t="shared" ref="K76:K87" si="13">(J75+J76)/2</f>
        <v>1347.7281250000001</v>
      </c>
    </row>
    <row r="77" spans="1:11" ht="15.75" x14ac:dyDescent="0.25">
      <c r="A77" s="228">
        <v>1998</v>
      </c>
      <c r="B77" s="221">
        <v>6</v>
      </c>
      <c r="C77" s="229">
        <v>1468.7</v>
      </c>
      <c r="D77" s="221">
        <f t="shared" si="6"/>
        <v>1299.4000000000001</v>
      </c>
      <c r="E77" s="133">
        <f t="shared" si="7"/>
        <v>1378.25</v>
      </c>
      <c r="F77" s="221">
        <f t="shared" si="9"/>
        <v>1378.25</v>
      </c>
      <c r="G77" s="133">
        <f t="shared" si="8"/>
        <v>1308.8625</v>
      </c>
      <c r="H77" s="133">
        <f t="shared" si="10"/>
        <v>1355.875</v>
      </c>
      <c r="I77" s="221">
        <f t="shared" si="11"/>
        <v>1355.875</v>
      </c>
      <c r="J77" s="133">
        <f t="shared" si="12"/>
        <v>1318.8062500000001</v>
      </c>
      <c r="K77" s="133">
        <f t="shared" si="13"/>
        <v>1344.1781249999999</v>
      </c>
    </row>
    <row r="78" spans="1:11" ht="15.75" x14ac:dyDescent="0.25">
      <c r="A78" s="228">
        <v>1999</v>
      </c>
      <c r="B78" s="221">
        <v>7</v>
      </c>
      <c r="C78" s="229">
        <v>1130.0999999999999</v>
      </c>
      <c r="D78" s="221">
        <f t="shared" si="6"/>
        <v>1179.55</v>
      </c>
      <c r="E78" s="133">
        <f t="shared" si="7"/>
        <v>1239.4749999999999</v>
      </c>
      <c r="F78" s="221">
        <f t="shared" si="9"/>
        <v>1239.4749999999999</v>
      </c>
      <c r="G78" s="133">
        <f t="shared" si="8"/>
        <v>1254.6125</v>
      </c>
      <c r="H78" s="133">
        <f t="shared" si="10"/>
        <v>1281.7375</v>
      </c>
      <c r="I78" s="221">
        <f t="shared" si="11"/>
        <v>1281.7375000000002</v>
      </c>
      <c r="J78" s="133">
        <f t="shared" si="12"/>
        <v>1296.640625</v>
      </c>
      <c r="K78" s="133">
        <f t="shared" si="13"/>
        <v>1307.7234375</v>
      </c>
    </row>
    <row r="79" spans="1:11" ht="15.75" x14ac:dyDescent="0.25">
      <c r="A79" s="228">
        <v>2000</v>
      </c>
      <c r="B79" s="221">
        <v>8</v>
      </c>
      <c r="C79" s="229">
        <v>1229</v>
      </c>
      <c r="D79" s="221">
        <f t="shared" si="6"/>
        <v>1359.95</v>
      </c>
      <c r="E79" s="133">
        <f t="shared" si="7"/>
        <v>1269.75</v>
      </c>
      <c r="F79" s="221">
        <f t="shared" si="9"/>
        <v>1269.75</v>
      </c>
      <c r="G79" s="133">
        <f t="shared" si="8"/>
        <v>1368.4750000000001</v>
      </c>
      <c r="H79" s="133">
        <f t="shared" si="10"/>
        <v>1311.54375</v>
      </c>
      <c r="I79" s="221">
        <f t="shared" si="11"/>
        <v>1311.5437499999998</v>
      </c>
      <c r="J79" s="133">
        <f t="shared" si="12"/>
        <v>1396.1343749999999</v>
      </c>
      <c r="K79" s="133">
        <f t="shared" si="13"/>
        <v>1346.3874999999998</v>
      </c>
    </row>
    <row r="80" spans="1:11" ht="15.75" x14ac:dyDescent="0.25">
      <c r="A80" s="228">
        <v>2001</v>
      </c>
      <c r="B80" s="221">
        <v>9</v>
      </c>
      <c r="C80" s="229">
        <v>1490.9</v>
      </c>
      <c r="D80" s="221">
        <f t="shared" si="6"/>
        <v>1574.45</v>
      </c>
      <c r="E80" s="133">
        <f t="shared" si="7"/>
        <v>1467.2</v>
      </c>
      <c r="F80" s="221">
        <f t="shared" si="9"/>
        <v>1467.2</v>
      </c>
      <c r="G80" s="133">
        <f t="shared" si="8"/>
        <v>1592.9750000000001</v>
      </c>
      <c r="H80" s="133">
        <f t="shared" si="10"/>
        <v>1480.7250000000001</v>
      </c>
      <c r="I80" s="221">
        <f t="shared" si="11"/>
        <v>1480.7249999999999</v>
      </c>
      <c r="J80" s="133">
        <f t="shared" si="12"/>
        <v>1624.3374999999999</v>
      </c>
      <c r="K80" s="133">
        <f t="shared" si="13"/>
        <v>1510.2359374999999</v>
      </c>
    </row>
    <row r="81" spans="1:14" ht="15.75" x14ac:dyDescent="0.25">
      <c r="A81" s="228">
        <v>2002</v>
      </c>
      <c r="B81" s="221">
        <v>10</v>
      </c>
      <c r="C81" s="229">
        <v>1658</v>
      </c>
      <c r="D81" s="221">
        <f t="shared" si="6"/>
        <v>1863.05</v>
      </c>
      <c r="E81" s="133">
        <f t="shared" si="7"/>
        <v>1718.75</v>
      </c>
      <c r="F81" s="221">
        <f t="shared" si="9"/>
        <v>1718.75</v>
      </c>
      <c r="G81" s="133">
        <f t="shared" si="8"/>
        <v>1942.9249999999997</v>
      </c>
      <c r="H81" s="133">
        <f t="shared" si="10"/>
        <v>1767.9499999999998</v>
      </c>
      <c r="I81" s="221">
        <f t="shared" si="11"/>
        <v>1767.95</v>
      </c>
      <c r="J81" s="133">
        <f t="shared" si="12"/>
        <v>2002.7125000000001</v>
      </c>
      <c r="K81" s="133">
        <f t="shared" si="13"/>
        <v>1813.5250000000001</v>
      </c>
    </row>
    <row r="82" spans="1:14" ht="15.75" x14ac:dyDescent="0.25">
      <c r="A82" s="228">
        <v>2003</v>
      </c>
      <c r="B82" s="221">
        <v>11</v>
      </c>
      <c r="C82" s="229">
        <v>2068.1</v>
      </c>
      <c r="D82" s="221">
        <f t="shared" si="6"/>
        <v>2471.1499999999996</v>
      </c>
      <c r="E82" s="133">
        <f t="shared" si="7"/>
        <v>2167.1</v>
      </c>
      <c r="F82" s="221">
        <f t="shared" si="9"/>
        <v>2167.1</v>
      </c>
      <c r="G82" s="133">
        <f t="shared" si="8"/>
        <v>2532.0249999999996</v>
      </c>
      <c r="H82" s="133">
        <f t="shared" si="10"/>
        <v>2237.4749999999995</v>
      </c>
      <c r="I82" s="221">
        <f t="shared" si="11"/>
        <v>2237.4749999999999</v>
      </c>
      <c r="J82" s="133">
        <f t="shared" si="12"/>
        <v>2604.75</v>
      </c>
      <c r="K82" s="133">
        <f t="shared" si="13"/>
        <v>2303.7312499999998</v>
      </c>
    </row>
    <row r="83" spans="1:14" ht="15.75" x14ac:dyDescent="0.25">
      <c r="A83" s="228">
        <v>2004</v>
      </c>
      <c r="B83" s="221">
        <v>12</v>
      </c>
      <c r="C83" s="229">
        <v>2874.2</v>
      </c>
      <c r="D83" s="221">
        <f t="shared" si="6"/>
        <v>3322.75</v>
      </c>
      <c r="E83" s="133">
        <f t="shared" si="7"/>
        <v>2896.95</v>
      </c>
      <c r="F83" s="221">
        <f t="shared" si="9"/>
        <v>2896.95</v>
      </c>
      <c r="G83" s="133">
        <f t="shared" si="8"/>
        <v>3412.0249999999996</v>
      </c>
      <c r="H83" s="133">
        <f t="shared" si="10"/>
        <v>2972.0249999999996</v>
      </c>
      <c r="I83" s="221">
        <f t="shared" si="11"/>
        <v>2972.0250000000001</v>
      </c>
      <c r="J83" s="133">
        <f t="shared" si="12"/>
        <v>3490.0968750000002</v>
      </c>
      <c r="K83" s="133">
        <f t="shared" si="13"/>
        <v>3047.4234375000001</v>
      </c>
    </row>
    <row r="84" spans="1:14" ht="15.75" x14ac:dyDescent="0.25">
      <c r="A84" s="228">
        <v>2005</v>
      </c>
      <c r="B84" s="221">
        <v>13</v>
      </c>
      <c r="C84" s="229">
        <v>3771.3</v>
      </c>
      <c r="D84" s="221">
        <f t="shared" si="6"/>
        <v>4531.4500000000007</v>
      </c>
      <c r="E84" s="133">
        <f t="shared" si="7"/>
        <v>3927.1000000000004</v>
      </c>
      <c r="F84" s="221">
        <f t="shared" si="9"/>
        <v>3927.1</v>
      </c>
      <c r="G84" s="133">
        <f t="shared" si="8"/>
        <v>4604.3125</v>
      </c>
      <c r="H84" s="133">
        <f t="shared" si="10"/>
        <v>4008.1687499999998</v>
      </c>
      <c r="I84" s="221">
        <f t="shared" si="11"/>
        <v>4008.1687500000003</v>
      </c>
      <c r="J84" s="133">
        <f t="shared" si="12"/>
        <v>4669.9875000000002</v>
      </c>
      <c r="K84" s="133">
        <f t="shared" si="13"/>
        <v>4080.0421875000002</v>
      </c>
    </row>
    <row r="85" spans="1:14" ht="15.75" x14ac:dyDescent="0.25">
      <c r="A85" s="228">
        <v>2006</v>
      </c>
      <c r="B85" s="221">
        <v>14</v>
      </c>
      <c r="C85" s="229">
        <v>5291.6</v>
      </c>
      <c r="D85" s="221">
        <f t="shared" si="6"/>
        <v>6031.6</v>
      </c>
      <c r="E85" s="133">
        <f t="shared" si="7"/>
        <v>5281.5250000000005</v>
      </c>
      <c r="F85" s="221">
        <f t="shared" si="9"/>
        <v>5281.5249999999996</v>
      </c>
      <c r="G85" s="133">
        <f t="shared" si="8"/>
        <v>6059.3000000000011</v>
      </c>
      <c r="H85" s="133">
        <f t="shared" si="10"/>
        <v>5331.8062500000005</v>
      </c>
      <c r="I85" s="221">
        <f t="shared" si="11"/>
        <v>5331.8062499999996</v>
      </c>
      <c r="J85" s="133">
        <f t="shared" si="12"/>
        <v>6002.96875</v>
      </c>
      <c r="K85" s="133">
        <f t="shared" si="13"/>
        <v>5336.4781249999996</v>
      </c>
    </row>
    <row r="86" spans="1:14" ht="15.75" x14ac:dyDescent="0.25">
      <c r="A86" s="228">
        <v>2007</v>
      </c>
      <c r="B86" s="221">
        <v>15</v>
      </c>
      <c r="C86" s="229">
        <v>6771.6</v>
      </c>
      <c r="D86" s="221">
        <f t="shared" si="6"/>
        <v>7642.55</v>
      </c>
      <c r="E86" s="133">
        <f t="shared" si="7"/>
        <v>6837.0750000000007</v>
      </c>
      <c r="F86" s="221">
        <f t="shared" si="9"/>
        <v>6837.0750000000007</v>
      </c>
      <c r="G86" s="133">
        <f t="shared" si="8"/>
        <v>7288.9625000000005</v>
      </c>
      <c r="H86" s="133">
        <f t="shared" si="10"/>
        <v>6674.1312500000004</v>
      </c>
      <c r="I86" s="221">
        <f t="shared" si="11"/>
        <v>6674.1312500000004</v>
      </c>
      <c r="J86" s="133">
        <f t="shared" si="12"/>
        <v>7124.1968749999996</v>
      </c>
      <c r="K86" s="133">
        <f t="shared" si="13"/>
        <v>6563.5828124999998</v>
      </c>
    </row>
    <row r="87" spans="1:14" ht="15.75" x14ac:dyDescent="0.25">
      <c r="A87" s="228">
        <v>2008</v>
      </c>
      <c r="B87" s="221">
        <v>16</v>
      </c>
      <c r="C87" s="229">
        <v>8513.5</v>
      </c>
      <c r="D87" s="221">
        <f t="shared" si="6"/>
        <v>7839.15</v>
      </c>
      <c r="E87" s="133">
        <f t="shared" si="7"/>
        <v>7740.85</v>
      </c>
      <c r="F87" s="221">
        <f t="shared" si="9"/>
        <v>7740.8499999999995</v>
      </c>
      <c r="G87" s="133">
        <f t="shared" si="8"/>
        <v>7859.5625</v>
      </c>
      <c r="H87" s="133">
        <f t="shared" si="10"/>
        <v>7574.2625000000007</v>
      </c>
      <c r="I87" s="221">
        <f t="shared" si="11"/>
        <v>7574.2624999999998</v>
      </c>
      <c r="J87" s="133">
        <f t="shared" si="12"/>
        <v>7894.9750000000004</v>
      </c>
      <c r="K87" s="133">
        <f t="shared" si="13"/>
        <v>7509.5859375</v>
      </c>
    </row>
    <row r="88" spans="1:14" ht="15.75" x14ac:dyDescent="0.25">
      <c r="A88" s="228">
        <v>2009</v>
      </c>
      <c r="B88" s="221">
        <v>17</v>
      </c>
      <c r="C88" s="229">
        <v>7164.8</v>
      </c>
      <c r="D88" s="221">
        <f t="shared" si="6"/>
        <v>8117.4</v>
      </c>
      <c r="E88" s="133">
        <f t="shared" si="7"/>
        <v>7978.2749999999996</v>
      </c>
      <c r="F88" s="221">
        <f t="shared" si="9"/>
        <v>7978.2749999999996</v>
      </c>
      <c r="G88" s="133">
        <f t="shared" si="8"/>
        <v>8571.8125</v>
      </c>
      <c r="H88" s="133">
        <f>(G87+G88)/2</f>
        <v>8215.6875</v>
      </c>
      <c r="I88" s="221">
        <f t="shared" si="11"/>
        <v>8215.6875</v>
      </c>
      <c r="J88" s="133">
        <f t="shared" si="12"/>
        <v>8768.40625</v>
      </c>
      <c r="K88" s="133">
        <f>(J87+J88)/2</f>
        <v>8331.6906249999993</v>
      </c>
    </row>
    <row r="89" spans="1:14" ht="15.75" x14ac:dyDescent="0.25">
      <c r="A89" s="228">
        <v>2010</v>
      </c>
      <c r="B89" s="221">
        <v>18</v>
      </c>
      <c r="C89" s="229">
        <v>9070</v>
      </c>
      <c r="D89" s="221">
        <f t="shared" si="6"/>
        <v>10213.299999999999</v>
      </c>
      <c r="E89" s="133">
        <f t="shared" si="7"/>
        <v>9165.3499999999985</v>
      </c>
      <c r="F89" s="221">
        <f t="shared" si="9"/>
        <v>9165.35</v>
      </c>
      <c r="G89" s="133">
        <f>(C88+3*C89+3*C90+C91)/8</f>
        <v>10070.4375</v>
      </c>
      <c r="H89" s="133">
        <f>(G88+G89)/2</f>
        <v>9321.125</v>
      </c>
      <c r="I89" s="221">
        <f t="shared" si="11"/>
        <v>9321.125</v>
      </c>
      <c r="J89" s="133"/>
      <c r="K89" s="133"/>
    </row>
    <row r="90" spans="1:14" ht="15.75" x14ac:dyDescent="0.25">
      <c r="A90" s="228">
        <v>2011</v>
      </c>
      <c r="B90" s="221">
        <v>19</v>
      </c>
      <c r="C90" s="229">
        <v>11356.6</v>
      </c>
      <c r="D90" s="221">
        <f>(C90+C91)/2</f>
        <v>11737.75</v>
      </c>
      <c r="E90" s="133">
        <f t="shared" si="7"/>
        <v>10975.525</v>
      </c>
      <c r="F90" s="221">
        <f>(C89+2*C90+C91)/4</f>
        <v>10975.525</v>
      </c>
      <c r="G90" s="133"/>
      <c r="H90" s="133"/>
      <c r="I90" s="133"/>
      <c r="J90" s="133"/>
      <c r="K90" s="133"/>
    </row>
    <row r="91" spans="1:14" ht="15.75" x14ac:dyDescent="0.25">
      <c r="A91" s="228">
        <v>2012</v>
      </c>
      <c r="B91" s="221">
        <v>20</v>
      </c>
      <c r="C91" s="229">
        <v>12118.9</v>
      </c>
      <c r="D91" s="133"/>
      <c r="E91" s="133"/>
      <c r="F91" s="133"/>
      <c r="G91" s="133"/>
      <c r="H91" s="133"/>
      <c r="I91" s="133"/>
      <c r="J91" s="133"/>
      <c r="K91" s="133"/>
    </row>
    <row r="93" spans="1:14" x14ac:dyDescent="0.25">
      <c r="A93" t="s">
        <v>445</v>
      </c>
    </row>
    <row r="94" spans="1:14" ht="34.5" customHeight="1" x14ac:dyDescent="0.25">
      <c r="A94" s="475" t="s">
        <v>447</v>
      </c>
      <c r="B94" s="476"/>
      <c r="C94" s="476"/>
      <c r="D94" s="476"/>
      <c r="E94" s="476"/>
      <c r="F94" s="476"/>
      <c r="G94" s="476"/>
      <c r="H94" s="476"/>
      <c r="I94" s="476"/>
      <c r="J94" s="476"/>
      <c r="K94" s="476"/>
      <c r="L94" s="476"/>
      <c r="M94" s="476"/>
      <c r="N94" s="476"/>
    </row>
    <row r="96" spans="1:14" x14ac:dyDescent="0.25">
      <c r="A96" t="s">
        <v>454</v>
      </c>
    </row>
    <row r="97" spans="1:1" x14ac:dyDescent="0.25">
      <c r="A97" t="s">
        <v>455</v>
      </c>
    </row>
    <row r="98" spans="1:1" x14ac:dyDescent="0.25">
      <c r="A98" t="s">
        <v>456</v>
      </c>
    </row>
    <row r="99" spans="1:1" x14ac:dyDescent="0.25">
      <c r="A99" t="s">
        <v>457</v>
      </c>
    </row>
    <row r="100" spans="1:1" x14ac:dyDescent="0.25">
      <c r="A100" t="s">
        <v>458</v>
      </c>
    </row>
    <row r="125" spans="1:11" x14ac:dyDescent="0.25">
      <c r="A125" s="141" t="s">
        <v>459</v>
      </c>
      <c r="H125" s="141" t="s">
        <v>549</v>
      </c>
    </row>
    <row r="127" spans="1:11" x14ac:dyDescent="0.25">
      <c r="H127" t="s">
        <v>460</v>
      </c>
      <c r="K127" s="141">
        <f>-0.42*21^4+18.44*21^3-219.13*21^2+976.21*21-220.74</f>
        <v>12734.16000000002</v>
      </c>
    </row>
    <row r="143" spans="1:1" x14ac:dyDescent="0.25">
      <c r="A143" s="141" t="s">
        <v>461</v>
      </c>
    </row>
    <row r="145" spans="1:7" x14ac:dyDescent="0.25">
      <c r="A145" s="141" t="s">
        <v>544</v>
      </c>
    </row>
    <row r="146" spans="1:7" ht="15.75" thickBot="1" x14ac:dyDescent="0.3"/>
    <row r="147" spans="1:7" s="255" customFormat="1" ht="45" x14ac:dyDescent="0.25">
      <c r="A147" s="458" t="s">
        <v>422</v>
      </c>
      <c r="B147" s="461" t="s">
        <v>428</v>
      </c>
      <c r="C147" s="474" t="s">
        <v>423</v>
      </c>
      <c r="D147" s="277" t="s">
        <v>546</v>
      </c>
      <c r="E147" s="277" t="s">
        <v>545</v>
      </c>
      <c r="F147" s="277" t="s">
        <v>547</v>
      </c>
      <c r="G147" s="278" t="s">
        <v>548</v>
      </c>
    </row>
    <row r="148" spans="1:7" x14ac:dyDescent="0.25">
      <c r="A148" s="459"/>
      <c r="B148" s="445"/>
      <c r="C148" s="454"/>
      <c r="D148" s="133"/>
      <c r="E148" s="133"/>
      <c r="F148" s="133"/>
      <c r="G148" s="175"/>
    </row>
    <row r="149" spans="1:7" x14ac:dyDescent="0.25">
      <c r="A149" s="459"/>
      <c r="B149" s="445"/>
      <c r="C149" s="454"/>
      <c r="D149" s="133"/>
      <c r="E149" s="133"/>
      <c r="F149" s="133"/>
      <c r="G149" s="175"/>
    </row>
    <row r="150" spans="1:7" x14ac:dyDescent="0.25">
      <c r="A150" s="459"/>
      <c r="B150" s="445"/>
      <c r="C150" s="454"/>
      <c r="D150" s="133"/>
      <c r="E150" s="133"/>
      <c r="F150" s="133"/>
      <c r="G150" s="175"/>
    </row>
    <row r="151" spans="1:7" x14ac:dyDescent="0.25">
      <c r="A151" s="459"/>
      <c r="B151" s="445"/>
      <c r="C151" s="454"/>
      <c r="D151" s="133"/>
      <c r="E151" s="133"/>
      <c r="F151" s="133"/>
      <c r="G151" s="175"/>
    </row>
    <row r="152" spans="1:7" ht="16.5" thickBot="1" x14ac:dyDescent="0.3">
      <c r="A152" s="266">
        <v>1993</v>
      </c>
      <c r="B152" s="149">
        <v>1</v>
      </c>
      <c r="C152" s="275">
        <v>696.2</v>
      </c>
      <c r="D152" s="281">
        <f>C152</f>
        <v>696.2</v>
      </c>
      <c r="E152" s="176">
        <f>((C153-C152)+(C155-C154))/2</f>
        <v>169.00000000000006</v>
      </c>
      <c r="F152" s="176">
        <v>0.4</v>
      </c>
      <c r="G152" s="177">
        <v>0.5</v>
      </c>
    </row>
    <row r="153" spans="1:7" ht="15.75" x14ac:dyDescent="0.25">
      <c r="A153" s="262">
        <v>1994</v>
      </c>
      <c r="B153" s="151">
        <v>2</v>
      </c>
      <c r="C153" s="260">
        <v>735.9</v>
      </c>
      <c r="D153" s="279">
        <f>(1-$F$152)*C153+$F$152*(C152+E152)</f>
        <v>787.62</v>
      </c>
      <c r="E153" s="279">
        <f>(1-$G$152)*(C153-D152)+$G$152*E152</f>
        <v>104.35</v>
      </c>
      <c r="F153" s="279"/>
      <c r="G153" s="280"/>
    </row>
    <row r="154" spans="1:7" ht="15.75" x14ac:dyDescent="0.25">
      <c r="A154" s="264">
        <v>1995</v>
      </c>
      <c r="B154" s="258">
        <v>3</v>
      </c>
      <c r="C154" s="229">
        <v>1052.0999999999999</v>
      </c>
      <c r="D154" s="276">
        <f>C154</f>
        <v>1052.0999999999999</v>
      </c>
      <c r="E154" s="133">
        <f>((C155-C154)+(C157-C156))/2</f>
        <v>160.75000000000011</v>
      </c>
      <c r="F154" s="133"/>
      <c r="G154" s="175"/>
    </row>
    <row r="155" spans="1:7" ht="15.75" x14ac:dyDescent="0.25">
      <c r="A155" s="264">
        <v>1996</v>
      </c>
      <c r="B155" s="258">
        <v>4</v>
      </c>
      <c r="C155" s="229">
        <v>1350.4</v>
      </c>
      <c r="D155" s="133">
        <f>(1-$F$152)*C155+$F$152*(C154+E154)</f>
        <v>1295.3800000000001</v>
      </c>
      <c r="E155" s="133">
        <f>(1-$G$152)*(C155-D154)+$G$152*E154</f>
        <v>229.52500000000015</v>
      </c>
      <c r="F155" s="133"/>
      <c r="G155" s="175"/>
    </row>
    <row r="156" spans="1:7" ht="15.75" x14ac:dyDescent="0.25">
      <c r="A156" s="264">
        <v>1997</v>
      </c>
      <c r="B156" s="258">
        <v>5</v>
      </c>
      <c r="C156" s="229">
        <v>1445.5</v>
      </c>
      <c r="D156" s="276">
        <f>C156</f>
        <v>1445.5</v>
      </c>
      <c r="E156" s="133">
        <f>((C157-C156)+(C159-C158))/2</f>
        <v>61.050000000000068</v>
      </c>
      <c r="F156" s="133"/>
      <c r="G156" s="175"/>
    </row>
    <row r="157" spans="1:7" ht="15.75" x14ac:dyDescent="0.25">
      <c r="A157" s="264">
        <v>1998</v>
      </c>
      <c r="B157" s="258">
        <v>6</v>
      </c>
      <c r="C157" s="229">
        <v>1468.7</v>
      </c>
      <c r="D157" s="133">
        <f>(1-$F$152)*C157+$F$152*(C156+E156)</f>
        <v>1483.8400000000001</v>
      </c>
      <c r="E157" s="133">
        <f>(1-$G$152)*(C157-D156)+$G$152*E156</f>
        <v>42.125000000000057</v>
      </c>
      <c r="F157" s="133"/>
      <c r="G157" s="175"/>
    </row>
    <row r="158" spans="1:7" ht="15.75" x14ac:dyDescent="0.25">
      <c r="A158" s="264">
        <v>1999</v>
      </c>
      <c r="B158" s="258">
        <v>7</v>
      </c>
      <c r="C158" s="229">
        <v>1130.0999999999999</v>
      </c>
      <c r="D158" s="276">
        <f>C158</f>
        <v>1130.0999999999999</v>
      </c>
      <c r="E158" s="133">
        <f>((C159-C158)+(C161-C160))/2</f>
        <v>133</v>
      </c>
      <c r="F158" s="133"/>
      <c r="G158" s="175"/>
    </row>
    <row r="159" spans="1:7" ht="15.75" x14ac:dyDescent="0.25">
      <c r="A159" s="264">
        <v>2000</v>
      </c>
      <c r="B159" s="258">
        <v>8</v>
      </c>
      <c r="C159" s="229">
        <v>1229</v>
      </c>
      <c r="D159" s="133">
        <f>(1-$F$152)*C159+$F$152*(C158+E158)</f>
        <v>1242.6399999999999</v>
      </c>
      <c r="E159" s="133">
        <f>(1-$G$152)*(C159-D158)+$G$152*E158</f>
        <v>115.95000000000005</v>
      </c>
      <c r="F159" s="133"/>
      <c r="G159" s="175"/>
    </row>
    <row r="160" spans="1:7" ht="15.75" x14ac:dyDescent="0.25">
      <c r="A160" s="264">
        <v>2001</v>
      </c>
      <c r="B160" s="258">
        <v>9</v>
      </c>
      <c r="C160" s="229">
        <v>1490.9</v>
      </c>
      <c r="D160" s="276">
        <f>C160</f>
        <v>1490.9</v>
      </c>
      <c r="E160" s="133">
        <f>((C161-C160)+(C163-C162))/2</f>
        <v>486.59999999999991</v>
      </c>
      <c r="F160" s="133"/>
      <c r="G160" s="175"/>
    </row>
    <row r="161" spans="1:10" ht="15.75" x14ac:dyDescent="0.25">
      <c r="A161" s="264">
        <v>2002</v>
      </c>
      <c r="B161" s="258">
        <v>10</v>
      </c>
      <c r="C161" s="229">
        <v>1658</v>
      </c>
      <c r="D161" s="133">
        <f>(1-$F$152)*C161+$F$152*(C160+E160)</f>
        <v>1785.8</v>
      </c>
      <c r="E161" s="133">
        <f>(1-$G$152)*(C161-D160)+$G$152*E160</f>
        <v>326.84999999999991</v>
      </c>
      <c r="F161" s="133"/>
      <c r="G161" s="175"/>
    </row>
    <row r="162" spans="1:10" ht="15.75" x14ac:dyDescent="0.25">
      <c r="A162" s="264">
        <v>2003</v>
      </c>
      <c r="B162" s="258">
        <v>11</v>
      </c>
      <c r="C162" s="229">
        <v>2068.1</v>
      </c>
      <c r="D162" s="276">
        <f>C162</f>
        <v>2068.1</v>
      </c>
      <c r="E162" s="133">
        <f>((C163-C162)+(C165-C164))/2</f>
        <v>1163.2</v>
      </c>
      <c r="F162" s="133"/>
      <c r="G162" s="175"/>
    </row>
    <row r="163" spans="1:10" ht="15.75" x14ac:dyDescent="0.25">
      <c r="A163" s="264">
        <v>2004</v>
      </c>
      <c r="B163" s="258">
        <v>12</v>
      </c>
      <c r="C163" s="229">
        <v>2874.2</v>
      </c>
      <c r="D163" s="133">
        <f>(1-$F$152)*C163+$F$152*(C162+E162)</f>
        <v>3017.04</v>
      </c>
      <c r="E163" s="133">
        <f>(1-$G$152)*(C163-D162)+$G$152*E162</f>
        <v>984.65</v>
      </c>
      <c r="F163" s="133"/>
      <c r="G163" s="175"/>
    </row>
    <row r="164" spans="1:10" ht="15.75" x14ac:dyDescent="0.25">
      <c r="A164" s="264">
        <v>2005</v>
      </c>
      <c r="B164" s="258">
        <v>13</v>
      </c>
      <c r="C164" s="229">
        <v>3771.3</v>
      </c>
      <c r="D164" s="276">
        <f>C164</f>
        <v>3771.3</v>
      </c>
      <c r="E164" s="133">
        <f>((C165-C164)+(C167-C166))/2</f>
        <v>1631.1</v>
      </c>
      <c r="F164" s="133"/>
      <c r="G164" s="175"/>
    </row>
    <row r="165" spans="1:10" ht="15.75" x14ac:dyDescent="0.25">
      <c r="A165" s="264">
        <v>2006</v>
      </c>
      <c r="B165" s="258">
        <v>14</v>
      </c>
      <c r="C165" s="229">
        <v>5291.6</v>
      </c>
      <c r="D165" s="133">
        <f>(1-$F$152)*C165+$F$152*(C164+E164)</f>
        <v>5335.92</v>
      </c>
      <c r="E165" s="133">
        <f>(1-$G$152)*(C165-D164)+$G$152*E164</f>
        <v>1575.7</v>
      </c>
      <c r="F165" s="133"/>
      <c r="G165" s="175"/>
    </row>
    <row r="166" spans="1:10" ht="15.75" x14ac:dyDescent="0.25">
      <c r="A166" s="264">
        <v>2007</v>
      </c>
      <c r="B166" s="258">
        <v>15</v>
      </c>
      <c r="C166" s="229">
        <v>6771.6</v>
      </c>
      <c r="D166" s="276">
        <f>C166</f>
        <v>6771.6</v>
      </c>
      <c r="E166" s="133">
        <f>((C167-C166)+(C169-C168))/2</f>
        <v>1823.5499999999997</v>
      </c>
      <c r="F166" s="133"/>
      <c r="G166" s="175"/>
    </row>
    <row r="167" spans="1:10" ht="15.75" x14ac:dyDescent="0.25">
      <c r="A167" s="264">
        <v>2008</v>
      </c>
      <c r="B167" s="258">
        <v>16</v>
      </c>
      <c r="C167" s="229">
        <v>8513.5</v>
      </c>
      <c r="D167" s="133">
        <f>(1-$F$152)*C167+$F$152*(C166+E166)</f>
        <v>8546.16</v>
      </c>
      <c r="E167" s="133">
        <f>(1-$G$152)*(C167-D166)+$G$152*E166</f>
        <v>1782.7249999999997</v>
      </c>
      <c r="F167" s="133"/>
      <c r="G167" s="175"/>
    </row>
    <row r="168" spans="1:10" ht="15.75" x14ac:dyDescent="0.25">
      <c r="A168" s="264">
        <v>2009</v>
      </c>
      <c r="B168" s="258">
        <v>17</v>
      </c>
      <c r="C168" s="229">
        <v>7164.8</v>
      </c>
      <c r="D168" s="276">
        <f>C168</f>
        <v>7164.8</v>
      </c>
      <c r="E168" s="133">
        <f>((C169-C168)+(C171-C170))/2</f>
        <v>1333.7499999999995</v>
      </c>
      <c r="F168" s="133"/>
      <c r="G168" s="175"/>
    </row>
    <row r="169" spans="1:10" ht="15.75" x14ac:dyDescent="0.25">
      <c r="A169" s="264">
        <v>2010</v>
      </c>
      <c r="B169" s="258">
        <v>18</v>
      </c>
      <c r="C169" s="229">
        <v>9070</v>
      </c>
      <c r="D169" s="133">
        <f>(1-$F$152)*C169+$F$152*(C168+E168)</f>
        <v>8841.42</v>
      </c>
      <c r="E169" s="133">
        <f>(1-$G$152)*(C169-D168)+$G$152*E168</f>
        <v>1619.4749999999997</v>
      </c>
      <c r="F169" s="133"/>
      <c r="G169" s="175"/>
    </row>
    <row r="170" spans="1:10" ht="15.75" x14ac:dyDescent="0.25">
      <c r="A170" s="264">
        <v>2011</v>
      </c>
      <c r="B170" s="258">
        <v>19</v>
      </c>
      <c r="C170" s="229">
        <v>11356.6</v>
      </c>
      <c r="D170" s="276">
        <f>C170</f>
        <v>11356.6</v>
      </c>
      <c r="E170" s="133">
        <f>((C171-C170)+(C173-C172))/2</f>
        <v>381.14999999999964</v>
      </c>
      <c r="F170" s="133"/>
      <c r="G170" s="175"/>
    </row>
    <row r="171" spans="1:10" ht="16.5" thickBot="1" x14ac:dyDescent="0.3">
      <c r="A171" s="266">
        <v>2012</v>
      </c>
      <c r="B171" s="149">
        <v>20</v>
      </c>
      <c r="C171" s="275">
        <v>12118.9</v>
      </c>
      <c r="D171" s="176">
        <f>(1-$F$152)*C171+$F$152*(C170+E170)</f>
        <v>11966.439999999999</v>
      </c>
      <c r="E171" s="176">
        <f>(1-$G$152)*(C171-D170)+$G$152*E170</f>
        <v>571.72499999999945</v>
      </c>
      <c r="F171" s="176"/>
      <c r="G171" s="177"/>
      <c r="I171">
        <f>E171+D171</f>
        <v>12538.164999999997</v>
      </c>
      <c r="J171" t="s">
        <v>567</v>
      </c>
    </row>
    <row r="172" spans="1:10" ht="15.75" x14ac:dyDescent="0.25">
      <c r="A172" s="282">
        <v>2013</v>
      </c>
      <c r="B172" s="283">
        <v>21</v>
      </c>
    </row>
    <row r="197" spans="1:8" x14ac:dyDescent="0.25">
      <c r="A197" s="141" t="s">
        <v>556</v>
      </c>
    </row>
    <row r="198" spans="1:8" ht="15.75" thickBot="1" x14ac:dyDescent="0.3"/>
    <row r="199" spans="1:8" x14ac:dyDescent="0.25">
      <c r="A199" s="458" t="s">
        <v>422</v>
      </c>
      <c r="B199" s="461" t="s">
        <v>428</v>
      </c>
      <c r="C199" s="463" t="s">
        <v>423</v>
      </c>
      <c r="D199" s="466" t="s">
        <v>557</v>
      </c>
      <c r="E199" s="467"/>
      <c r="F199" s="467"/>
      <c r="G199" s="467"/>
      <c r="H199" s="468"/>
    </row>
    <row r="200" spans="1:8" x14ac:dyDescent="0.25">
      <c r="A200" s="459"/>
      <c r="B200" s="445"/>
      <c r="C200" s="464"/>
      <c r="D200" s="469" t="s">
        <v>558</v>
      </c>
      <c r="E200" s="448"/>
      <c r="F200" s="448"/>
      <c r="G200" s="448"/>
      <c r="H200" s="470"/>
    </row>
    <row r="201" spans="1:8" x14ac:dyDescent="0.25">
      <c r="A201" s="459"/>
      <c r="B201" s="445"/>
      <c r="C201" s="464"/>
      <c r="D201" s="469">
        <v>0.2</v>
      </c>
      <c r="E201" s="448">
        <v>0.3</v>
      </c>
      <c r="F201" s="448">
        <v>0.5</v>
      </c>
      <c r="G201" s="448">
        <v>0.7</v>
      </c>
      <c r="H201" s="470">
        <v>0.8</v>
      </c>
    </row>
    <row r="202" spans="1:8" x14ac:dyDescent="0.25">
      <c r="A202" s="459"/>
      <c r="B202" s="445"/>
      <c r="C202" s="464"/>
      <c r="D202" s="469"/>
      <c r="E202" s="448"/>
      <c r="F202" s="448"/>
      <c r="G202" s="448"/>
      <c r="H202" s="470"/>
    </row>
    <row r="203" spans="1:8" ht="15.75" thickBot="1" x14ac:dyDescent="0.3">
      <c r="A203" s="460"/>
      <c r="B203" s="462"/>
      <c r="C203" s="465"/>
      <c r="D203" s="471"/>
      <c r="E203" s="472"/>
      <c r="F203" s="472"/>
      <c r="G203" s="472"/>
      <c r="H203" s="473"/>
    </row>
    <row r="204" spans="1:8" ht="15.75" x14ac:dyDescent="0.25">
      <c r="A204" s="262">
        <v>1993</v>
      </c>
      <c r="B204" s="151">
        <v>1</v>
      </c>
      <c r="C204" s="263">
        <v>696.2</v>
      </c>
      <c r="D204" s="268">
        <f>C204</f>
        <v>696.2</v>
      </c>
      <c r="E204" s="261">
        <f>C204</f>
        <v>696.2</v>
      </c>
      <c r="F204" s="261">
        <f>C204</f>
        <v>696.2</v>
      </c>
      <c r="G204" s="261">
        <f>C204</f>
        <v>696.2</v>
      </c>
      <c r="H204" s="269">
        <f>C204</f>
        <v>696.2</v>
      </c>
    </row>
    <row r="205" spans="1:8" ht="15.75" x14ac:dyDescent="0.25">
      <c r="A205" s="264">
        <v>1994</v>
      </c>
      <c r="B205" s="258">
        <v>2</v>
      </c>
      <c r="C205" s="265">
        <v>735.9</v>
      </c>
      <c r="D205" s="270">
        <f>C205*(1-$D$201)+$D$201*D204</f>
        <v>727.96</v>
      </c>
      <c r="E205" s="259">
        <f>C205*(1-$E$201)+E204*$E$201</f>
        <v>723.99</v>
      </c>
      <c r="F205" s="259">
        <f>C205*(1-$F$201)+$F$201*F204</f>
        <v>716.05</v>
      </c>
      <c r="G205" s="259">
        <f>C205*(1-$G$201)+$G$201*G204</f>
        <v>708.11</v>
      </c>
      <c r="H205" s="271">
        <f>C205*(1-$H$201)+H204*$H$201</f>
        <v>704.14</v>
      </c>
    </row>
    <row r="206" spans="1:8" ht="15.75" x14ac:dyDescent="0.25">
      <c r="A206" s="264">
        <v>1995</v>
      </c>
      <c r="B206" s="258">
        <v>3</v>
      </c>
      <c r="C206" s="265">
        <v>1052.0999999999999</v>
      </c>
      <c r="D206" s="270">
        <f>C206*(1-$D$201)+$D$201*D205</f>
        <v>987.27199999999993</v>
      </c>
      <c r="E206" s="259">
        <f t="shared" ref="E206:E223" si="14">C206*(1-$E$201)+E205*$E$201</f>
        <v>953.66699999999992</v>
      </c>
      <c r="F206" s="259">
        <f t="shared" ref="F206:F223" si="15">C206*(1-$F$201)+$F$201*F205</f>
        <v>884.07499999999993</v>
      </c>
      <c r="G206" s="259">
        <f t="shared" ref="G206:G223" si="16">C206*(1-$G$201)+$G$201*G205</f>
        <v>811.30700000000002</v>
      </c>
      <c r="H206" s="271">
        <f t="shared" ref="H206:H223" si="17">C206*(1-$H$201)+H205*$H$201</f>
        <v>773.73199999999997</v>
      </c>
    </row>
    <row r="207" spans="1:8" ht="15.75" x14ac:dyDescent="0.25">
      <c r="A207" s="264">
        <v>1996</v>
      </c>
      <c r="B207" s="258">
        <v>4</v>
      </c>
      <c r="C207" s="265">
        <v>1350.4</v>
      </c>
      <c r="D207" s="270">
        <f t="shared" ref="D207:D223" si="18">C207*(1-$D$201)+$D$201*D206</f>
        <v>1277.7744000000002</v>
      </c>
      <c r="E207" s="259">
        <f t="shared" si="14"/>
        <v>1231.3800999999999</v>
      </c>
      <c r="F207" s="259">
        <f t="shared" si="15"/>
        <v>1117.2375</v>
      </c>
      <c r="G207" s="259">
        <f t="shared" si="16"/>
        <v>973.03490000000011</v>
      </c>
      <c r="H207" s="271">
        <f t="shared" si="17"/>
        <v>889.0655999999999</v>
      </c>
    </row>
    <row r="208" spans="1:8" ht="15.75" x14ac:dyDescent="0.25">
      <c r="A208" s="264">
        <v>1997</v>
      </c>
      <c r="B208" s="258">
        <v>5</v>
      </c>
      <c r="C208" s="265">
        <v>1445.5</v>
      </c>
      <c r="D208" s="270">
        <f t="shared" si="18"/>
        <v>1411.9548800000002</v>
      </c>
      <c r="E208" s="259">
        <f t="shared" si="14"/>
        <v>1381.2640299999998</v>
      </c>
      <c r="F208" s="259">
        <f t="shared" si="15"/>
        <v>1281.3687500000001</v>
      </c>
      <c r="G208" s="259">
        <f t="shared" si="16"/>
        <v>1114.7744300000002</v>
      </c>
      <c r="H208" s="271">
        <f t="shared" si="17"/>
        <v>1000.3524799999999</v>
      </c>
    </row>
    <row r="209" spans="1:8" ht="15.75" x14ac:dyDescent="0.25">
      <c r="A209" s="264">
        <v>1998</v>
      </c>
      <c r="B209" s="258">
        <v>6</v>
      </c>
      <c r="C209" s="265">
        <v>1468.7</v>
      </c>
      <c r="D209" s="270">
        <f t="shared" si="18"/>
        <v>1457.3509760000002</v>
      </c>
      <c r="E209" s="259">
        <f t="shared" si="14"/>
        <v>1442.4692089999999</v>
      </c>
      <c r="F209" s="259">
        <f t="shared" si="15"/>
        <v>1375.0343750000002</v>
      </c>
      <c r="G209" s="259">
        <f t="shared" si="16"/>
        <v>1220.9521010000001</v>
      </c>
      <c r="H209" s="271">
        <f t="shared" si="17"/>
        <v>1094.021984</v>
      </c>
    </row>
    <row r="210" spans="1:8" ht="15.75" x14ac:dyDescent="0.25">
      <c r="A210" s="264">
        <v>1999</v>
      </c>
      <c r="B210" s="258">
        <v>7</v>
      </c>
      <c r="C210" s="265">
        <v>1130.0999999999999</v>
      </c>
      <c r="D210" s="270">
        <f t="shared" si="18"/>
        <v>1195.5501952</v>
      </c>
      <c r="E210" s="259">
        <f t="shared" si="14"/>
        <v>1223.8107626999999</v>
      </c>
      <c r="F210" s="259">
        <f t="shared" si="15"/>
        <v>1252.5671875</v>
      </c>
      <c r="G210" s="259">
        <f t="shared" si="16"/>
        <v>1193.6964707</v>
      </c>
      <c r="H210" s="271">
        <f t="shared" si="17"/>
        <v>1101.2375872</v>
      </c>
    </row>
    <row r="211" spans="1:8" ht="15.75" x14ac:dyDescent="0.25">
      <c r="A211" s="264">
        <v>2000</v>
      </c>
      <c r="B211" s="258">
        <v>8</v>
      </c>
      <c r="C211" s="265">
        <v>1229</v>
      </c>
      <c r="D211" s="270">
        <f t="shared" si="18"/>
        <v>1222.31003904</v>
      </c>
      <c r="E211" s="259">
        <f t="shared" si="14"/>
        <v>1227.4432288099999</v>
      </c>
      <c r="F211" s="259">
        <f t="shared" si="15"/>
        <v>1240.7835937499999</v>
      </c>
      <c r="G211" s="259">
        <f t="shared" si="16"/>
        <v>1204.28752949</v>
      </c>
      <c r="H211" s="271">
        <f t="shared" si="17"/>
        <v>1126.7900697600001</v>
      </c>
    </row>
    <row r="212" spans="1:8" ht="15.75" x14ac:dyDescent="0.25">
      <c r="A212" s="264">
        <v>2001</v>
      </c>
      <c r="B212" s="258">
        <v>9</v>
      </c>
      <c r="C212" s="265">
        <v>1490.9</v>
      </c>
      <c r="D212" s="270">
        <f t="shared" si="18"/>
        <v>1437.182007808</v>
      </c>
      <c r="E212" s="259">
        <f t="shared" si="14"/>
        <v>1411.8629686430002</v>
      </c>
      <c r="F212" s="259">
        <f t="shared" si="15"/>
        <v>1365.841796875</v>
      </c>
      <c r="G212" s="259">
        <f t="shared" si="16"/>
        <v>1290.2712706430002</v>
      </c>
      <c r="H212" s="271">
        <f t="shared" si="17"/>
        <v>1199.6120558080002</v>
      </c>
    </row>
    <row r="213" spans="1:8" ht="15.75" x14ac:dyDescent="0.25">
      <c r="A213" s="264">
        <v>2002</v>
      </c>
      <c r="B213" s="258">
        <v>10</v>
      </c>
      <c r="C213" s="265">
        <v>1658</v>
      </c>
      <c r="D213" s="270">
        <f t="shared" si="18"/>
        <v>1613.8364015616</v>
      </c>
      <c r="E213" s="259">
        <f t="shared" si="14"/>
        <v>1584.1588905929</v>
      </c>
      <c r="F213" s="259">
        <f t="shared" si="15"/>
        <v>1511.9208984375</v>
      </c>
      <c r="G213" s="259">
        <f t="shared" si="16"/>
        <v>1400.5898894501001</v>
      </c>
      <c r="H213" s="271">
        <f t="shared" si="17"/>
        <v>1291.2896446464001</v>
      </c>
    </row>
    <row r="214" spans="1:8" ht="15.75" x14ac:dyDescent="0.25">
      <c r="A214" s="264">
        <v>2003</v>
      </c>
      <c r="B214" s="258">
        <v>11</v>
      </c>
      <c r="C214" s="265">
        <v>2068.1</v>
      </c>
      <c r="D214" s="270">
        <f t="shared" si="18"/>
        <v>1977.2472803123201</v>
      </c>
      <c r="E214" s="259">
        <f t="shared" si="14"/>
        <v>1922.9176671778698</v>
      </c>
      <c r="F214" s="259">
        <f t="shared" si="15"/>
        <v>1790.01044921875</v>
      </c>
      <c r="G214" s="259">
        <f t="shared" si="16"/>
        <v>1600.8429226150702</v>
      </c>
      <c r="H214" s="271">
        <f t="shared" si="17"/>
        <v>1446.6517157171199</v>
      </c>
    </row>
    <row r="215" spans="1:8" ht="15.75" x14ac:dyDescent="0.25">
      <c r="A215" s="264">
        <v>2004</v>
      </c>
      <c r="B215" s="258">
        <v>12</v>
      </c>
      <c r="C215" s="265">
        <v>2874.2</v>
      </c>
      <c r="D215" s="270">
        <f t="shared" si="18"/>
        <v>2694.8094560624641</v>
      </c>
      <c r="E215" s="259">
        <f t="shared" si="14"/>
        <v>2588.815300153361</v>
      </c>
      <c r="F215" s="259">
        <f t="shared" si="15"/>
        <v>2332.105224609375</v>
      </c>
      <c r="G215" s="259">
        <f t="shared" si="16"/>
        <v>1982.8500458305493</v>
      </c>
      <c r="H215" s="271">
        <f t="shared" si="17"/>
        <v>1732.1613725736956</v>
      </c>
    </row>
    <row r="216" spans="1:8" ht="15.75" x14ac:dyDescent="0.25">
      <c r="A216" s="264">
        <v>2005</v>
      </c>
      <c r="B216" s="258">
        <v>13</v>
      </c>
      <c r="C216" s="265">
        <v>3771.3</v>
      </c>
      <c r="D216" s="270">
        <f t="shared" si="18"/>
        <v>3556.0018912124933</v>
      </c>
      <c r="E216" s="259">
        <f t="shared" si="14"/>
        <v>3416.5545900460083</v>
      </c>
      <c r="F216" s="259">
        <f t="shared" si="15"/>
        <v>3051.7026123046876</v>
      </c>
      <c r="G216" s="259">
        <f t="shared" si="16"/>
        <v>2519.3850320813845</v>
      </c>
      <c r="H216" s="271">
        <f t="shared" si="17"/>
        <v>2139.9890980589566</v>
      </c>
    </row>
    <row r="217" spans="1:8" ht="15.75" x14ac:dyDescent="0.25">
      <c r="A217" s="264">
        <v>2006</v>
      </c>
      <c r="B217" s="258">
        <v>14</v>
      </c>
      <c r="C217" s="265">
        <v>5291.6</v>
      </c>
      <c r="D217" s="270">
        <f t="shared" si="18"/>
        <v>4944.4803782424997</v>
      </c>
      <c r="E217" s="259">
        <f t="shared" si="14"/>
        <v>4729.0863770138021</v>
      </c>
      <c r="F217" s="259">
        <f t="shared" si="15"/>
        <v>4171.6513061523437</v>
      </c>
      <c r="G217" s="259">
        <f t="shared" si="16"/>
        <v>3351.0495224569695</v>
      </c>
      <c r="H217" s="271">
        <f t="shared" si="17"/>
        <v>2770.311278447165</v>
      </c>
    </row>
    <row r="218" spans="1:8" ht="15.75" x14ac:dyDescent="0.25">
      <c r="A218" s="264">
        <v>2007</v>
      </c>
      <c r="B218" s="258">
        <v>15</v>
      </c>
      <c r="C218" s="265">
        <v>6771.6</v>
      </c>
      <c r="D218" s="270">
        <f t="shared" si="18"/>
        <v>6406.176075648501</v>
      </c>
      <c r="E218" s="259">
        <f t="shared" si="14"/>
        <v>6158.84591310414</v>
      </c>
      <c r="F218" s="259">
        <f t="shared" si="15"/>
        <v>5471.6256530761721</v>
      </c>
      <c r="G218" s="259">
        <f t="shared" si="16"/>
        <v>4377.2146657198791</v>
      </c>
      <c r="H218" s="271">
        <f t="shared" si="17"/>
        <v>3570.569022757732</v>
      </c>
    </row>
    <row r="219" spans="1:8" ht="15.75" x14ac:dyDescent="0.25">
      <c r="A219" s="264">
        <v>2008</v>
      </c>
      <c r="B219" s="258">
        <v>16</v>
      </c>
      <c r="C219" s="265">
        <v>8513.5</v>
      </c>
      <c r="D219" s="270">
        <f t="shared" si="18"/>
        <v>8092.0352151297002</v>
      </c>
      <c r="E219" s="259">
        <f t="shared" si="14"/>
        <v>7807.1037739312414</v>
      </c>
      <c r="F219" s="259">
        <f t="shared" si="15"/>
        <v>6992.5628265380856</v>
      </c>
      <c r="G219" s="259">
        <f t="shared" si="16"/>
        <v>5618.1002660039157</v>
      </c>
      <c r="H219" s="271">
        <f t="shared" si="17"/>
        <v>4559.1552182061851</v>
      </c>
    </row>
    <row r="220" spans="1:8" ht="15.75" x14ac:dyDescent="0.25">
      <c r="A220" s="264">
        <v>2009</v>
      </c>
      <c r="B220" s="258">
        <v>17</v>
      </c>
      <c r="C220" s="265">
        <v>7164.8</v>
      </c>
      <c r="D220" s="270">
        <f t="shared" si="18"/>
        <v>7350.24704302594</v>
      </c>
      <c r="E220" s="259">
        <f t="shared" si="14"/>
        <v>7357.4911321793716</v>
      </c>
      <c r="F220" s="259">
        <f t="shared" si="15"/>
        <v>7078.6814132690433</v>
      </c>
      <c r="G220" s="259">
        <f t="shared" si="16"/>
        <v>6082.1101862027408</v>
      </c>
      <c r="H220" s="271">
        <f t="shared" si="17"/>
        <v>5080.2841745649484</v>
      </c>
    </row>
    <row r="221" spans="1:8" ht="15.75" x14ac:dyDescent="0.25">
      <c r="A221" s="264">
        <v>2010</v>
      </c>
      <c r="B221" s="258">
        <v>18</v>
      </c>
      <c r="C221" s="265">
        <v>9070</v>
      </c>
      <c r="D221" s="270">
        <f t="shared" si="18"/>
        <v>8726.0494086051876</v>
      </c>
      <c r="E221" s="259">
        <f t="shared" si="14"/>
        <v>8556.2473396538117</v>
      </c>
      <c r="F221" s="259">
        <f t="shared" si="15"/>
        <v>8074.3407066345217</v>
      </c>
      <c r="G221" s="259">
        <f t="shared" si="16"/>
        <v>6978.4771303419184</v>
      </c>
      <c r="H221" s="271">
        <f t="shared" si="17"/>
        <v>5878.2273396519586</v>
      </c>
    </row>
    <row r="222" spans="1:8" ht="15.75" x14ac:dyDescent="0.25">
      <c r="A222" s="264">
        <v>2011</v>
      </c>
      <c r="B222" s="258">
        <v>19</v>
      </c>
      <c r="C222" s="265">
        <v>11356.6</v>
      </c>
      <c r="D222" s="270">
        <f t="shared" si="18"/>
        <v>10830.489881721038</v>
      </c>
      <c r="E222" s="259">
        <f t="shared" si="14"/>
        <v>10516.494201896143</v>
      </c>
      <c r="F222" s="259">
        <f t="shared" si="15"/>
        <v>9715.4703533172615</v>
      </c>
      <c r="G222" s="259">
        <f t="shared" si="16"/>
        <v>8291.9139912393439</v>
      </c>
      <c r="H222" s="271">
        <f t="shared" si="17"/>
        <v>6973.9018717215667</v>
      </c>
    </row>
    <row r="223" spans="1:8" ht="16.5" thickBot="1" x14ac:dyDescent="0.3">
      <c r="A223" s="266">
        <v>2012</v>
      </c>
      <c r="B223" s="149">
        <v>20</v>
      </c>
      <c r="C223" s="267">
        <v>12118.9</v>
      </c>
      <c r="D223" s="272">
        <f t="shared" si="18"/>
        <v>11861.217976344209</v>
      </c>
      <c r="E223" s="273">
        <f t="shared" si="14"/>
        <v>11638.178260568842</v>
      </c>
      <c r="F223" s="273">
        <f t="shared" si="15"/>
        <v>10917.18517665863</v>
      </c>
      <c r="G223" s="273">
        <f t="shared" si="16"/>
        <v>9440.0097938675408</v>
      </c>
      <c r="H223" s="274">
        <f t="shared" si="17"/>
        <v>8002.9014973772537</v>
      </c>
    </row>
    <row r="226" spans="3:3" x14ac:dyDescent="0.25">
      <c r="C226" s="141" t="s">
        <v>559</v>
      </c>
    </row>
    <row r="250" spans="3:9" x14ac:dyDescent="0.25">
      <c r="C250" s="141" t="s">
        <v>560</v>
      </c>
    </row>
    <row r="252" spans="3:9" x14ac:dyDescent="0.25">
      <c r="C252" t="s">
        <v>561</v>
      </c>
      <c r="I252" t="s">
        <v>562</v>
      </c>
    </row>
    <row r="273" spans="3:3" x14ac:dyDescent="0.25">
      <c r="C273" s="141" t="s">
        <v>563</v>
      </c>
    </row>
    <row r="296" spans="2:13" x14ac:dyDescent="0.25">
      <c r="B296" s="141" t="s">
        <v>550</v>
      </c>
    </row>
    <row r="299" spans="2:13" s="256" customFormat="1" ht="60" x14ac:dyDescent="0.25">
      <c r="B299" s="257" t="s">
        <v>551</v>
      </c>
      <c r="C299" s="257" t="s">
        <v>552</v>
      </c>
      <c r="D299" s="257"/>
      <c r="E299" s="257"/>
      <c r="F299" s="257"/>
      <c r="G299" s="257"/>
      <c r="H299" s="257"/>
      <c r="I299" s="257"/>
      <c r="J299" s="257"/>
      <c r="K299" s="257"/>
      <c r="L299" s="257"/>
    </row>
    <row r="300" spans="2:13" s="256" customFormat="1" x14ac:dyDescent="0.25">
      <c r="B300" s="257"/>
      <c r="C300" s="257" t="s">
        <v>553</v>
      </c>
      <c r="D300" s="257" t="s">
        <v>554</v>
      </c>
      <c r="E300" s="257" t="s">
        <v>553</v>
      </c>
      <c r="F300" s="257" t="s">
        <v>554</v>
      </c>
      <c r="G300" s="257" t="s">
        <v>553</v>
      </c>
      <c r="H300" s="257" t="s">
        <v>554</v>
      </c>
      <c r="I300" s="257" t="s">
        <v>553</v>
      </c>
      <c r="J300" s="257" t="s">
        <v>554</v>
      </c>
      <c r="K300" s="257" t="s">
        <v>553</v>
      </c>
      <c r="L300" s="257" t="s">
        <v>554</v>
      </c>
    </row>
    <row r="301" spans="2:13" s="256" customFormat="1" x14ac:dyDescent="0.25">
      <c r="B301" s="257"/>
      <c r="C301" s="257">
        <v>0.2</v>
      </c>
      <c r="D301" s="257">
        <v>0.2</v>
      </c>
      <c r="E301" s="257">
        <v>0.8</v>
      </c>
      <c r="F301" s="257">
        <v>0.2</v>
      </c>
      <c r="G301" s="257">
        <v>0.2</v>
      </c>
      <c r="H301" s="257">
        <v>0.8</v>
      </c>
      <c r="I301" s="257">
        <v>0.8</v>
      </c>
      <c r="J301" s="257">
        <v>0.8</v>
      </c>
      <c r="K301" s="257">
        <v>0.5</v>
      </c>
      <c r="L301" s="257">
        <v>0.5</v>
      </c>
    </row>
    <row r="302" spans="2:13" x14ac:dyDescent="0.25">
      <c r="B302" s="133">
        <v>4</v>
      </c>
      <c r="C302" s="258">
        <f>1-C301</f>
        <v>0.8</v>
      </c>
      <c r="D302" s="258"/>
      <c r="E302" s="133">
        <f>1-E301</f>
        <v>0.19999999999999996</v>
      </c>
      <c r="F302" s="133"/>
      <c r="G302" s="133">
        <f>1-G301</f>
        <v>0.8</v>
      </c>
      <c r="H302" s="133"/>
      <c r="I302" s="133">
        <f>1-I301</f>
        <v>0.19999999999999996</v>
      </c>
      <c r="J302" s="133"/>
      <c r="K302" s="133">
        <f>1-K301</f>
        <v>0.5</v>
      </c>
      <c r="L302" s="133"/>
    </row>
    <row r="303" spans="2:13" x14ac:dyDescent="0.25">
      <c r="B303" s="133">
        <v>3</v>
      </c>
      <c r="C303" s="258">
        <f>1-D301+C301</f>
        <v>1</v>
      </c>
      <c r="D303" s="258"/>
      <c r="E303" s="133">
        <f>1-F301+E301</f>
        <v>1.6</v>
      </c>
      <c r="F303" s="133"/>
      <c r="G303" s="133">
        <f>1-H301+G301</f>
        <v>0.39999999999999997</v>
      </c>
      <c r="H303" s="133"/>
      <c r="I303" s="133">
        <f>1-J301+I301</f>
        <v>1</v>
      </c>
      <c r="J303" s="133"/>
      <c r="K303" s="133">
        <f>1-L301+K301</f>
        <v>1</v>
      </c>
      <c r="L303" s="133"/>
    </row>
    <row r="304" spans="2:13" x14ac:dyDescent="0.25">
      <c r="B304" s="133">
        <v>2</v>
      </c>
      <c r="C304" s="258">
        <f>C301*(1-D301)*(D301+C301-1)</f>
        <v>-9.6000000000000016E-2</v>
      </c>
      <c r="D304" s="258"/>
      <c r="E304" s="133">
        <f>E301*(1-F301)*(F301+E301-1)</f>
        <v>0</v>
      </c>
      <c r="F304" s="133"/>
      <c r="G304" s="133">
        <f>G301*(1-H301)*(H301+G301-1)</f>
        <v>0</v>
      </c>
      <c r="H304" s="133"/>
      <c r="I304" s="133">
        <f>I301*(1-J301)*(J301+I301-1)</f>
        <v>9.6000000000000002E-2</v>
      </c>
      <c r="J304" s="133"/>
      <c r="K304" s="133">
        <f>K301*(1-L301)*(L301+K301-1)</f>
        <v>0</v>
      </c>
      <c r="L304" s="133"/>
      <c r="M304" t="s">
        <v>555</v>
      </c>
    </row>
    <row r="305" spans="2:12" x14ac:dyDescent="0.25">
      <c r="B305" s="133">
        <v>1</v>
      </c>
      <c r="C305" s="258">
        <f>C301*(1-D301)*(2*C301*D301-2*C301+D301*D301-D301)</f>
        <v>-7.6800000000000021E-2</v>
      </c>
      <c r="D305" s="258"/>
      <c r="E305" s="133">
        <f>E301*(1-F301)*(2*E301*F301-2*E301+F301*F301-F301)</f>
        <v>-0.9216000000000002</v>
      </c>
      <c r="F305" s="133"/>
      <c r="G305" s="133">
        <f>G301*(1-H301)*(2*G301*H301-2*G301+H301*H301-H301)</f>
        <v>-9.599999999999994E-3</v>
      </c>
      <c r="H305" s="133"/>
      <c r="I305" s="133">
        <f>I301*(1-J301)*(2*I301*J301-2*I301+J301*J301-J301)</f>
        <v>-7.6799999999999952E-2</v>
      </c>
      <c r="J305" s="133"/>
      <c r="K305" s="133">
        <f>K301*(1-L301)*(2*K301*L301-2*K301+L301*L301-L301)</f>
        <v>-0.1875</v>
      </c>
      <c r="L305" s="133"/>
    </row>
    <row r="309" spans="2:12" x14ac:dyDescent="0.25">
      <c r="B309" s="141" t="s">
        <v>564</v>
      </c>
    </row>
    <row r="311" spans="2:12" x14ac:dyDescent="0.25">
      <c r="B311" s="454" t="s">
        <v>422</v>
      </c>
      <c r="C311" s="445" t="s">
        <v>428</v>
      </c>
      <c r="D311" s="454" t="s">
        <v>423</v>
      </c>
      <c r="E311" s="133" t="s">
        <v>565</v>
      </c>
      <c r="F311" s="133"/>
      <c r="G311" s="133"/>
      <c r="H311" s="133"/>
      <c r="I311" s="133"/>
    </row>
    <row r="312" spans="2:12" x14ac:dyDescent="0.25">
      <c r="B312" s="454"/>
      <c r="C312" s="445"/>
      <c r="D312" s="454"/>
      <c r="E312" s="133">
        <v>0.2</v>
      </c>
      <c r="F312" s="133">
        <v>0.3</v>
      </c>
      <c r="G312" s="133">
        <v>0.5</v>
      </c>
      <c r="H312" s="133">
        <v>0.7</v>
      </c>
      <c r="I312" s="133">
        <v>0.8</v>
      </c>
    </row>
    <row r="313" spans="2:12" x14ac:dyDescent="0.25">
      <c r="B313" s="454"/>
      <c r="C313" s="445"/>
      <c r="D313" s="454"/>
      <c r="E313" s="133"/>
      <c r="F313" s="133"/>
      <c r="G313" s="133"/>
      <c r="H313" s="133"/>
      <c r="I313" s="133"/>
    </row>
    <row r="314" spans="2:12" x14ac:dyDescent="0.25">
      <c r="B314" s="454"/>
      <c r="C314" s="445"/>
      <c r="D314" s="454"/>
      <c r="E314" s="133"/>
      <c r="F314" s="133"/>
      <c r="G314" s="133"/>
      <c r="H314" s="133"/>
      <c r="I314" s="133"/>
    </row>
    <row r="315" spans="2:12" x14ac:dyDescent="0.25">
      <c r="B315" s="454"/>
      <c r="C315" s="445"/>
      <c r="D315" s="454"/>
      <c r="E315" s="133"/>
      <c r="F315" s="133"/>
      <c r="G315" s="133"/>
      <c r="H315" s="133"/>
      <c r="I315" s="133"/>
    </row>
    <row r="316" spans="2:12" ht="15.75" x14ac:dyDescent="0.25">
      <c r="B316" s="228">
        <v>1993</v>
      </c>
      <c r="C316" s="258">
        <v>1</v>
      </c>
      <c r="D316" s="229">
        <v>696.2</v>
      </c>
      <c r="E316" s="276">
        <f>D316</f>
        <v>696.2</v>
      </c>
      <c r="F316" s="276">
        <f>D316</f>
        <v>696.2</v>
      </c>
      <c r="G316" s="276">
        <f>D316</f>
        <v>696.2</v>
      </c>
      <c r="H316" s="276">
        <f>D316</f>
        <v>696.2</v>
      </c>
      <c r="I316" s="276">
        <f>D316</f>
        <v>696.2</v>
      </c>
    </row>
    <row r="317" spans="2:12" ht="15.75" x14ac:dyDescent="0.25">
      <c r="B317" s="228">
        <v>1994</v>
      </c>
      <c r="C317" s="258">
        <v>2</v>
      </c>
      <c r="D317" s="229">
        <v>735.9</v>
      </c>
      <c r="E317" s="133">
        <f>(1-E312)*D316+E312*E316</f>
        <v>696.2</v>
      </c>
      <c r="F317" s="133">
        <f>(1-$F$312)*D316+$F$312*F316</f>
        <v>696.2</v>
      </c>
      <c r="G317" s="133">
        <f>(1-$G$312)*D316+$G$312*G316</f>
        <v>696.2</v>
      </c>
      <c r="H317" s="133">
        <f>(1-$H$312)*D316+$H$312*H316</f>
        <v>696.2</v>
      </c>
      <c r="I317" s="133">
        <f>(1-$I$312)*D316+$I$312*I316</f>
        <v>696.2</v>
      </c>
    </row>
    <row r="318" spans="2:12" ht="15.75" x14ac:dyDescent="0.25">
      <c r="B318" s="228">
        <v>1995</v>
      </c>
      <c r="C318" s="128">
        <v>3</v>
      </c>
      <c r="D318" s="229">
        <v>1052.0999999999999</v>
      </c>
      <c r="E318" s="133">
        <f>(1-$E$312)*D317+$E$312*E317</f>
        <v>727.96</v>
      </c>
      <c r="F318" s="133">
        <f t="shared" ref="F318:F336" si="19">(1-$F$312)*D317+$F$312*F317</f>
        <v>723.99</v>
      </c>
      <c r="G318" s="133">
        <f t="shared" ref="G318:G336" si="20">(1-$G$312)*D317+$G$312*G317</f>
        <v>716.05</v>
      </c>
      <c r="H318" s="133">
        <f t="shared" ref="H318:H336" si="21">(1-$H$312)*D317+$H$312*H317</f>
        <v>708.11</v>
      </c>
      <c r="I318" s="133">
        <f t="shared" ref="I318:I336" si="22">(1-$I$312)*D317+$I$312*I317</f>
        <v>704.14</v>
      </c>
    </row>
    <row r="319" spans="2:12" ht="15.75" x14ac:dyDescent="0.25">
      <c r="B319" s="228">
        <v>1996</v>
      </c>
      <c r="C319" s="128">
        <v>4</v>
      </c>
      <c r="D319" s="229">
        <v>1350.4</v>
      </c>
      <c r="E319" s="133">
        <f t="shared" ref="E319:E335" si="23">(1-$E$312)*D318+$E$312*E318</f>
        <v>987.27199999999993</v>
      </c>
      <c r="F319" s="133">
        <f t="shared" si="19"/>
        <v>953.66699999999992</v>
      </c>
      <c r="G319" s="133">
        <f t="shared" si="20"/>
        <v>884.07499999999993</v>
      </c>
      <c r="H319" s="133">
        <f t="shared" si="21"/>
        <v>811.30700000000002</v>
      </c>
      <c r="I319" s="133">
        <f t="shared" si="22"/>
        <v>773.73199999999997</v>
      </c>
    </row>
    <row r="320" spans="2:12" ht="15.75" x14ac:dyDescent="0.25">
      <c r="B320" s="228">
        <v>1997</v>
      </c>
      <c r="C320" s="128">
        <v>5</v>
      </c>
      <c r="D320" s="229">
        <v>1445.5</v>
      </c>
      <c r="E320" s="133">
        <f t="shared" si="23"/>
        <v>1277.7744000000002</v>
      </c>
      <c r="F320" s="133">
        <f t="shared" si="19"/>
        <v>1231.3800999999999</v>
      </c>
      <c r="G320" s="133">
        <f t="shared" si="20"/>
        <v>1117.2375</v>
      </c>
      <c r="H320" s="133">
        <f t="shared" si="21"/>
        <v>973.03490000000011</v>
      </c>
      <c r="I320" s="133">
        <f t="shared" si="22"/>
        <v>889.0655999999999</v>
      </c>
    </row>
    <row r="321" spans="2:9" ht="15.75" x14ac:dyDescent="0.25">
      <c r="B321" s="228">
        <v>1998</v>
      </c>
      <c r="C321" s="128">
        <v>6</v>
      </c>
      <c r="D321" s="229">
        <v>1468.7</v>
      </c>
      <c r="E321" s="133">
        <f t="shared" si="23"/>
        <v>1411.9548800000002</v>
      </c>
      <c r="F321" s="133">
        <f t="shared" si="19"/>
        <v>1381.2640299999998</v>
      </c>
      <c r="G321" s="133">
        <f t="shared" si="20"/>
        <v>1281.3687500000001</v>
      </c>
      <c r="H321" s="133">
        <f t="shared" si="21"/>
        <v>1114.7744300000002</v>
      </c>
      <c r="I321" s="133">
        <f t="shared" si="22"/>
        <v>1000.3524799999999</v>
      </c>
    </row>
    <row r="322" spans="2:9" ht="15.75" x14ac:dyDescent="0.25">
      <c r="B322" s="228">
        <v>1999</v>
      </c>
      <c r="C322" s="128">
        <v>7</v>
      </c>
      <c r="D322" s="229">
        <v>1130.0999999999999</v>
      </c>
      <c r="E322" s="133">
        <f t="shared" si="23"/>
        <v>1457.3509760000002</v>
      </c>
      <c r="F322" s="133">
        <f t="shared" si="19"/>
        <v>1442.4692089999999</v>
      </c>
      <c r="G322" s="133">
        <f t="shared" si="20"/>
        <v>1375.0343750000002</v>
      </c>
      <c r="H322" s="133">
        <f t="shared" si="21"/>
        <v>1220.9521010000001</v>
      </c>
      <c r="I322" s="133">
        <f t="shared" si="22"/>
        <v>1094.021984</v>
      </c>
    </row>
    <row r="323" spans="2:9" ht="15.75" x14ac:dyDescent="0.25">
      <c r="B323" s="228">
        <v>2000</v>
      </c>
      <c r="C323" s="128">
        <v>8</v>
      </c>
      <c r="D323" s="229">
        <v>1229</v>
      </c>
      <c r="E323" s="133">
        <f t="shared" si="23"/>
        <v>1195.5501952</v>
      </c>
      <c r="F323" s="133">
        <f t="shared" si="19"/>
        <v>1223.8107626999999</v>
      </c>
      <c r="G323" s="133">
        <f t="shared" si="20"/>
        <v>1252.5671875</v>
      </c>
      <c r="H323" s="133">
        <f t="shared" si="21"/>
        <v>1193.6964707</v>
      </c>
      <c r="I323" s="133">
        <f t="shared" si="22"/>
        <v>1101.2375872</v>
      </c>
    </row>
    <row r="324" spans="2:9" ht="15.75" x14ac:dyDescent="0.25">
      <c r="B324" s="228">
        <v>2001</v>
      </c>
      <c r="C324" s="128">
        <v>9</v>
      </c>
      <c r="D324" s="229">
        <v>1490.9</v>
      </c>
      <c r="E324" s="133">
        <f t="shared" si="23"/>
        <v>1222.31003904</v>
      </c>
      <c r="F324" s="133">
        <f t="shared" si="19"/>
        <v>1227.4432288099999</v>
      </c>
      <c r="G324" s="133">
        <f t="shared" si="20"/>
        <v>1240.7835937499999</v>
      </c>
      <c r="H324" s="133">
        <f t="shared" si="21"/>
        <v>1204.28752949</v>
      </c>
      <c r="I324" s="133">
        <f t="shared" si="22"/>
        <v>1126.7900697600001</v>
      </c>
    </row>
    <row r="325" spans="2:9" ht="15.75" x14ac:dyDescent="0.25">
      <c r="B325" s="228">
        <v>2002</v>
      </c>
      <c r="C325" s="128">
        <v>10</v>
      </c>
      <c r="D325" s="229">
        <v>1658</v>
      </c>
      <c r="E325" s="133">
        <f t="shared" si="23"/>
        <v>1437.182007808</v>
      </c>
      <c r="F325" s="133">
        <f t="shared" si="19"/>
        <v>1411.8629686430002</v>
      </c>
      <c r="G325" s="133">
        <f t="shared" si="20"/>
        <v>1365.841796875</v>
      </c>
      <c r="H325" s="133">
        <f t="shared" si="21"/>
        <v>1290.2712706430002</v>
      </c>
      <c r="I325" s="133">
        <f t="shared" si="22"/>
        <v>1199.6120558080002</v>
      </c>
    </row>
    <row r="326" spans="2:9" ht="15.75" x14ac:dyDescent="0.25">
      <c r="B326" s="228">
        <v>2003</v>
      </c>
      <c r="C326" s="128">
        <v>11</v>
      </c>
      <c r="D326" s="229">
        <v>2068.1</v>
      </c>
      <c r="E326" s="133">
        <f t="shared" si="23"/>
        <v>1613.8364015616</v>
      </c>
      <c r="F326" s="133">
        <f t="shared" si="19"/>
        <v>1584.1588905929</v>
      </c>
      <c r="G326" s="133">
        <f t="shared" si="20"/>
        <v>1511.9208984375</v>
      </c>
      <c r="H326" s="133">
        <f t="shared" si="21"/>
        <v>1400.5898894501001</v>
      </c>
      <c r="I326" s="133">
        <f t="shared" si="22"/>
        <v>1291.2896446464001</v>
      </c>
    </row>
    <row r="327" spans="2:9" ht="15.75" x14ac:dyDescent="0.25">
      <c r="B327" s="228">
        <v>2004</v>
      </c>
      <c r="C327" s="128">
        <v>12</v>
      </c>
      <c r="D327" s="229">
        <v>2874.2</v>
      </c>
      <c r="E327" s="133">
        <f t="shared" si="23"/>
        <v>1977.2472803123201</v>
      </c>
      <c r="F327" s="133">
        <f t="shared" si="19"/>
        <v>1922.9176671778698</v>
      </c>
      <c r="G327" s="133">
        <f t="shared" si="20"/>
        <v>1790.01044921875</v>
      </c>
      <c r="H327" s="133">
        <f t="shared" si="21"/>
        <v>1600.8429226150702</v>
      </c>
      <c r="I327" s="133">
        <f t="shared" si="22"/>
        <v>1446.6517157171199</v>
      </c>
    </row>
    <row r="328" spans="2:9" ht="15.75" x14ac:dyDescent="0.25">
      <c r="B328" s="228">
        <v>2005</v>
      </c>
      <c r="C328" s="128">
        <v>13</v>
      </c>
      <c r="D328" s="229">
        <v>3771.3</v>
      </c>
      <c r="E328" s="133">
        <f t="shared" si="23"/>
        <v>2694.8094560624641</v>
      </c>
      <c r="F328" s="133">
        <f t="shared" si="19"/>
        <v>2588.815300153361</v>
      </c>
      <c r="G328" s="133">
        <f t="shared" si="20"/>
        <v>2332.105224609375</v>
      </c>
      <c r="H328" s="133">
        <f t="shared" si="21"/>
        <v>1982.8500458305493</v>
      </c>
      <c r="I328" s="133">
        <f t="shared" si="22"/>
        <v>1732.1613725736956</v>
      </c>
    </row>
    <row r="329" spans="2:9" ht="15.75" x14ac:dyDescent="0.25">
      <c r="B329" s="228">
        <v>2006</v>
      </c>
      <c r="C329" s="128">
        <v>14</v>
      </c>
      <c r="D329" s="229">
        <v>5291.6</v>
      </c>
      <c r="E329" s="133">
        <f t="shared" si="23"/>
        <v>3556.0018912124933</v>
      </c>
      <c r="F329" s="133">
        <f t="shared" si="19"/>
        <v>3416.5545900460083</v>
      </c>
      <c r="G329" s="133">
        <f t="shared" si="20"/>
        <v>3051.7026123046876</v>
      </c>
      <c r="H329" s="133">
        <f t="shared" si="21"/>
        <v>2519.3850320813845</v>
      </c>
      <c r="I329" s="133">
        <f t="shared" si="22"/>
        <v>2139.9890980589566</v>
      </c>
    </row>
    <row r="330" spans="2:9" ht="15.75" x14ac:dyDescent="0.25">
      <c r="B330" s="228">
        <v>2007</v>
      </c>
      <c r="C330" s="128">
        <v>15</v>
      </c>
      <c r="D330" s="229">
        <v>6771.6</v>
      </c>
      <c r="E330" s="133">
        <f t="shared" si="23"/>
        <v>4944.4803782424997</v>
      </c>
      <c r="F330" s="133">
        <f t="shared" si="19"/>
        <v>4729.0863770138021</v>
      </c>
      <c r="G330" s="133">
        <f t="shared" si="20"/>
        <v>4171.6513061523437</v>
      </c>
      <c r="H330" s="133">
        <f t="shared" si="21"/>
        <v>3351.0495224569695</v>
      </c>
      <c r="I330" s="133">
        <f t="shared" si="22"/>
        <v>2770.311278447165</v>
      </c>
    </row>
    <row r="331" spans="2:9" ht="15.75" x14ac:dyDescent="0.25">
      <c r="B331" s="228">
        <v>2008</v>
      </c>
      <c r="C331" s="128">
        <v>16</v>
      </c>
      <c r="D331" s="229">
        <v>8513.5</v>
      </c>
      <c r="E331" s="133">
        <f t="shared" si="23"/>
        <v>6406.176075648501</v>
      </c>
      <c r="F331" s="133">
        <f t="shared" si="19"/>
        <v>6158.84591310414</v>
      </c>
      <c r="G331" s="133">
        <f t="shared" si="20"/>
        <v>5471.6256530761721</v>
      </c>
      <c r="H331" s="133">
        <f t="shared" si="21"/>
        <v>4377.2146657198791</v>
      </c>
      <c r="I331" s="133">
        <f t="shared" si="22"/>
        <v>3570.569022757732</v>
      </c>
    </row>
    <row r="332" spans="2:9" ht="15.75" x14ac:dyDescent="0.25">
      <c r="B332" s="228">
        <v>2009</v>
      </c>
      <c r="C332" s="128">
        <v>17</v>
      </c>
      <c r="D332" s="229">
        <v>7164.8</v>
      </c>
      <c r="E332" s="133">
        <f t="shared" si="23"/>
        <v>8092.0352151297002</v>
      </c>
      <c r="F332" s="133">
        <f t="shared" si="19"/>
        <v>7807.1037739312414</v>
      </c>
      <c r="G332" s="133">
        <f t="shared" si="20"/>
        <v>6992.5628265380856</v>
      </c>
      <c r="H332" s="133">
        <f t="shared" si="21"/>
        <v>5618.1002660039157</v>
      </c>
      <c r="I332" s="133">
        <f t="shared" si="22"/>
        <v>4559.1552182061851</v>
      </c>
    </row>
    <row r="333" spans="2:9" ht="15.75" x14ac:dyDescent="0.25">
      <c r="B333" s="228">
        <v>2010</v>
      </c>
      <c r="C333" s="128">
        <v>18</v>
      </c>
      <c r="D333" s="229">
        <v>9070</v>
      </c>
      <c r="E333" s="133">
        <f t="shared" si="23"/>
        <v>7350.24704302594</v>
      </c>
      <c r="F333" s="133">
        <f t="shared" si="19"/>
        <v>7357.4911321793716</v>
      </c>
      <c r="G333" s="133">
        <f t="shared" si="20"/>
        <v>7078.6814132690433</v>
      </c>
      <c r="H333" s="133">
        <f t="shared" si="21"/>
        <v>6082.1101862027408</v>
      </c>
      <c r="I333" s="133">
        <f t="shared" si="22"/>
        <v>5080.2841745649484</v>
      </c>
    </row>
    <row r="334" spans="2:9" ht="15.75" x14ac:dyDescent="0.25">
      <c r="B334" s="228">
        <v>2011</v>
      </c>
      <c r="C334" s="258">
        <v>19</v>
      </c>
      <c r="D334" s="229">
        <v>11356.6</v>
      </c>
      <c r="E334" s="133">
        <f t="shared" si="23"/>
        <v>8726.0494086051876</v>
      </c>
      <c r="F334" s="133">
        <f>(1-$F$312)*D333+$F$312*F333</f>
        <v>8556.2473396538117</v>
      </c>
      <c r="G334" s="133">
        <f t="shared" si="20"/>
        <v>8074.3407066345217</v>
      </c>
      <c r="H334" s="133">
        <f t="shared" si="21"/>
        <v>6978.4771303419184</v>
      </c>
      <c r="I334" s="133">
        <f t="shared" si="22"/>
        <v>5878.2273396519586</v>
      </c>
    </row>
    <row r="335" spans="2:9" ht="15.75" x14ac:dyDescent="0.25">
      <c r="B335" s="228">
        <v>2012</v>
      </c>
      <c r="C335" s="258">
        <v>20</v>
      </c>
      <c r="D335" s="229">
        <v>12118.9</v>
      </c>
      <c r="E335" s="133">
        <f t="shared" si="23"/>
        <v>10830.489881721038</v>
      </c>
      <c r="F335" s="133">
        <f t="shared" si="19"/>
        <v>10516.494201896143</v>
      </c>
      <c r="G335" s="133">
        <f t="shared" si="20"/>
        <v>9715.4703533172615</v>
      </c>
      <c r="H335" s="133">
        <f t="shared" si="21"/>
        <v>8291.9139912393439</v>
      </c>
      <c r="I335" s="133">
        <f t="shared" si="22"/>
        <v>6973.9018717215667</v>
      </c>
    </row>
    <row r="336" spans="2:9" x14ac:dyDescent="0.25">
      <c r="B336" s="455" t="s">
        <v>566</v>
      </c>
      <c r="C336" s="456"/>
      <c r="D336" s="457"/>
      <c r="E336" s="133">
        <f>(1-$E$312)*D335+$E$312*E335</f>
        <v>11861.217976344209</v>
      </c>
      <c r="F336" s="133">
        <f t="shared" si="19"/>
        <v>11638.178260568842</v>
      </c>
      <c r="G336" s="133">
        <f t="shared" si="20"/>
        <v>10917.18517665863</v>
      </c>
      <c r="H336" s="133">
        <f t="shared" si="21"/>
        <v>9440.0097938675408</v>
      </c>
      <c r="I336" s="133">
        <f t="shared" si="22"/>
        <v>8002.9014973772537</v>
      </c>
    </row>
  </sheetData>
  <mergeCells count="45">
    <mergeCell ref="H8:I8"/>
    <mergeCell ref="D6:E7"/>
    <mergeCell ref="D5:I5"/>
    <mergeCell ref="F6:I7"/>
    <mergeCell ref="A5:A9"/>
    <mergeCell ref="B5:B9"/>
    <mergeCell ref="C5:C9"/>
    <mergeCell ref="D8:D9"/>
    <mergeCell ref="E8:E9"/>
    <mergeCell ref="F8:G8"/>
    <mergeCell ref="A35:N35"/>
    <mergeCell ref="A36:N36"/>
    <mergeCell ref="A67:A71"/>
    <mergeCell ref="B67:B71"/>
    <mergeCell ref="C67:C71"/>
    <mergeCell ref="D67:K67"/>
    <mergeCell ref="D68:E68"/>
    <mergeCell ref="G68:H68"/>
    <mergeCell ref="J68:K68"/>
    <mergeCell ref="D69:D71"/>
    <mergeCell ref="E69:E71"/>
    <mergeCell ref="F69:F71"/>
    <mergeCell ref="A147:A151"/>
    <mergeCell ref="B147:B151"/>
    <mergeCell ref="C147:C151"/>
    <mergeCell ref="A94:N94"/>
    <mergeCell ref="G69:G71"/>
    <mergeCell ref="H69:H71"/>
    <mergeCell ref="I69:I71"/>
    <mergeCell ref="J69:J71"/>
    <mergeCell ref="K69:K71"/>
    <mergeCell ref="B311:B315"/>
    <mergeCell ref="C311:C315"/>
    <mergeCell ref="D311:D315"/>
    <mergeCell ref="B336:D336"/>
    <mergeCell ref="A199:A203"/>
    <mergeCell ref="B199:B203"/>
    <mergeCell ref="C199:C203"/>
    <mergeCell ref="D199:H199"/>
    <mergeCell ref="D200:H200"/>
    <mergeCell ref="D201:D203"/>
    <mergeCell ref="E201:E203"/>
    <mergeCell ref="F201:F203"/>
    <mergeCell ref="G201:G203"/>
    <mergeCell ref="H201:H203"/>
  </mergeCells>
  <pageMargins left="0.39370078740157483" right="0.31496062992125984" top="0.35433070866141736" bottom="0.35433070866141736" header="0.31496062992125984" footer="0.31496062992125984"/>
  <pageSetup paperSize="9" scale="64" fitToHeight="4" orientation="landscape" verticalDpi="0" r:id="rId1"/>
  <rowBreaks count="6" manualBreakCount="6">
    <brk id="64" max="18" man="1"/>
    <brk id="100" max="18" man="1"/>
    <brk id="144" max="18" man="1"/>
    <brk id="196" max="18" man="1"/>
    <brk id="248" max="18" man="1"/>
    <brk id="295" max="18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6"/>
  <sheetViews>
    <sheetView topLeftCell="A9" workbookViewId="0"/>
  </sheetViews>
  <sheetFormatPr defaultRowHeight="15" x14ac:dyDescent="0.25"/>
  <cols>
    <col min="1" max="1" width="25.85546875" customWidth="1"/>
    <col min="2" max="2" width="21.7109375" customWidth="1"/>
    <col min="3" max="3" width="18.85546875" customWidth="1"/>
    <col min="4" max="4" width="12" bestFit="1" customWidth="1"/>
    <col min="6" max="6" width="10" bestFit="1" customWidth="1"/>
  </cols>
  <sheetData>
    <row r="1" spans="1:10" x14ac:dyDescent="0.25">
      <c r="A1" s="141" t="s">
        <v>568</v>
      </c>
    </row>
    <row r="2" spans="1:10" x14ac:dyDescent="0.25">
      <c r="A2" t="s">
        <v>512</v>
      </c>
    </row>
    <row r="3" spans="1:10" x14ac:dyDescent="0.25">
      <c r="A3" t="s">
        <v>474</v>
      </c>
    </row>
    <row r="4" spans="1:10" x14ac:dyDescent="0.25">
      <c r="A4" t="s">
        <v>465</v>
      </c>
    </row>
    <row r="5" spans="1:10" x14ac:dyDescent="0.25">
      <c r="A5" t="s">
        <v>466</v>
      </c>
    </row>
    <row r="6" spans="1:10" x14ac:dyDescent="0.25">
      <c r="A6" t="s">
        <v>467</v>
      </c>
    </row>
    <row r="7" spans="1:10" x14ac:dyDescent="0.25">
      <c r="A7" t="s">
        <v>468</v>
      </c>
    </row>
    <row r="8" spans="1:10" x14ac:dyDescent="0.25">
      <c r="A8" t="s">
        <v>469</v>
      </c>
    </row>
    <row r="9" spans="1:10" x14ac:dyDescent="0.25">
      <c r="A9" t="s">
        <v>470</v>
      </c>
    </row>
    <row r="10" spans="1:10" x14ac:dyDescent="0.25">
      <c r="A10" t="s">
        <v>471</v>
      </c>
    </row>
    <row r="11" spans="1:10" x14ac:dyDescent="0.25">
      <c r="A11" t="s">
        <v>513</v>
      </c>
    </row>
    <row r="13" spans="1:10" s="117" customFormat="1" ht="47.25" x14ac:dyDescent="0.25">
      <c r="A13" s="237" t="s">
        <v>463</v>
      </c>
      <c r="B13" s="238" t="s">
        <v>464</v>
      </c>
      <c r="C13" s="238" t="s">
        <v>472</v>
      </c>
      <c r="D13" s="227" t="s">
        <v>476</v>
      </c>
      <c r="E13" s="227" t="s">
        <v>477</v>
      </c>
      <c r="F13" s="227" t="s">
        <v>479</v>
      </c>
      <c r="G13" s="227" t="s">
        <v>478</v>
      </c>
      <c r="H13" s="227" t="s">
        <v>480</v>
      </c>
      <c r="I13" s="227" t="s">
        <v>481</v>
      </c>
      <c r="J13" s="227" t="s">
        <v>482</v>
      </c>
    </row>
    <row r="14" spans="1:10" s="117" customFormat="1" ht="15.75" x14ac:dyDescent="0.25">
      <c r="A14" s="237">
        <v>1</v>
      </c>
      <c r="B14" s="238">
        <v>2</v>
      </c>
      <c r="C14" s="238">
        <v>3</v>
      </c>
      <c r="D14" s="227">
        <v>4</v>
      </c>
      <c r="E14" s="227">
        <v>5</v>
      </c>
      <c r="F14" s="227">
        <v>6</v>
      </c>
      <c r="G14" s="227">
        <v>7</v>
      </c>
      <c r="H14" s="227">
        <v>8</v>
      </c>
      <c r="I14" s="227">
        <v>9</v>
      </c>
      <c r="J14" s="227">
        <v>10</v>
      </c>
    </row>
    <row r="15" spans="1:10" ht="47.25" x14ac:dyDescent="0.25">
      <c r="A15" s="237"/>
      <c r="B15" s="238" t="s">
        <v>483</v>
      </c>
      <c r="C15" s="238" t="s">
        <v>473</v>
      </c>
      <c r="D15" s="133"/>
      <c r="E15" s="133"/>
      <c r="F15" s="133"/>
      <c r="G15" s="133"/>
      <c r="H15" s="133"/>
      <c r="I15" s="133"/>
      <c r="J15" s="133"/>
    </row>
    <row r="16" spans="1:10" ht="15.75" x14ac:dyDescent="0.25">
      <c r="A16" s="239" t="s">
        <v>223</v>
      </c>
      <c r="B16" s="238">
        <v>0.6</v>
      </c>
      <c r="C16" s="240">
        <v>13019</v>
      </c>
      <c r="D16" s="133">
        <f>1/C16</f>
        <v>7.681081496274676E-5</v>
      </c>
      <c r="E16" s="133">
        <f>1/B16</f>
        <v>1.6666666666666667</v>
      </c>
      <c r="F16" s="133">
        <f>C16*C16</f>
        <v>169494361</v>
      </c>
      <c r="G16" s="241">
        <f>C16</f>
        <v>13019</v>
      </c>
      <c r="H16" s="133">
        <f>LOG10(C16)</f>
        <v>4.1145776270001662</v>
      </c>
      <c r="I16" s="133">
        <f>LOG10(B16)</f>
        <v>-0.22184874961635639</v>
      </c>
      <c r="J16" s="133">
        <f>LN(C16)</f>
        <v>9.474165107897397</v>
      </c>
    </row>
    <row r="17" spans="1:10" ht="15.75" x14ac:dyDescent="0.25">
      <c r="A17" s="239" t="s">
        <v>170</v>
      </c>
      <c r="B17" s="238">
        <v>0.6</v>
      </c>
      <c r="C17" s="240">
        <v>16172</v>
      </c>
      <c r="D17" s="133">
        <f t="shared" ref="D17:D31" si="0">1/C17</f>
        <v>6.1835270838486275E-5</v>
      </c>
      <c r="E17" s="133">
        <f t="shared" ref="E17:E31" si="1">1/B17</f>
        <v>1.6666666666666667</v>
      </c>
      <c r="F17" s="133">
        <f t="shared" ref="F17:F31" si="2">C17*C17</f>
        <v>261533584</v>
      </c>
      <c r="G17" s="241">
        <f t="shared" ref="G17:G31" si="3">C17</f>
        <v>16172</v>
      </c>
      <c r="H17" s="133">
        <f t="shared" ref="H17:H31" si="4">LOG10(C17)</f>
        <v>4.2087637326616365</v>
      </c>
      <c r="I17" s="133">
        <f t="shared" ref="I17:I31" si="5">LOG10(B17)</f>
        <v>-0.22184874961635639</v>
      </c>
      <c r="J17" s="133">
        <f t="shared" ref="J17:J31" si="6">LN(C17)</f>
        <v>9.6910366307606619</v>
      </c>
    </row>
    <row r="18" spans="1:10" ht="15.75" x14ac:dyDescent="0.25">
      <c r="A18" s="239" t="s">
        <v>171</v>
      </c>
      <c r="B18" s="238">
        <v>1</v>
      </c>
      <c r="C18" s="240">
        <v>20356</v>
      </c>
      <c r="D18" s="133">
        <f t="shared" si="0"/>
        <v>4.9125564943996858E-5</v>
      </c>
      <c r="E18" s="133">
        <f t="shared" si="1"/>
        <v>1</v>
      </c>
      <c r="F18" s="133">
        <f t="shared" si="2"/>
        <v>414366736</v>
      </c>
      <c r="G18" s="241">
        <f t="shared" si="3"/>
        <v>20356</v>
      </c>
      <c r="H18" s="133">
        <f t="shared" si="4"/>
        <v>4.3086924422012567</v>
      </c>
      <c r="I18" s="133">
        <f t="shared" si="5"/>
        <v>0</v>
      </c>
      <c r="J18" s="133">
        <f t="shared" si="6"/>
        <v>9.9211309877087235</v>
      </c>
    </row>
    <row r="19" spans="1:10" ht="15.75" x14ac:dyDescent="0.25">
      <c r="A19" s="239" t="s">
        <v>174</v>
      </c>
      <c r="B19" s="238">
        <v>2.7</v>
      </c>
      <c r="C19" s="240">
        <v>11395</v>
      </c>
      <c r="D19" s="133">
        <f t="shared" si="0"/>
        <v>8.775778850372971E-5</v>
      </c>
      <c r="E19" s="133">
        <f t="shared" si="1"/>
        <v>0.37037037037037035</v>
      </c>
      <c r="F19" s="133">
        <f t="shared" si="2"/>
        <v>129846025</v>
      </c>
      <c r="G19" s="241">
        <f t="shared" si="3"/>
        <v>11395</v>
      </c>
      <c r="H19" s="133">
        <f t="shared" si="4"/>
        <v>4.0567143295163941</v>
      </c>
      <c r="I19" s="133">
        <f t="shared" si="5"/>
        <v>0.43136376415898736</v>
      </c>
      <c r="J19" s="133">
        <f t="shared" si="6"/>
        <v>9.340929941679784</v>
      </c>
    </row>
    <row r="20" spans="1:10" ht="15.75" x14ac:dyDescent="0.25">
      <c r="A20" s="239" t="s">
        <v>175</v>
      </c>
      <c r="B20" s="238">
        <v>1</v>
      </c>
      <c r="C20" s="240">
        <v>10257</v>
      </c>
      <c r="D20" s="133">
        <f t="shared" si="0"/>
        <v>9.7494394072340838E-5</v>
      </c>
      <c r="E20" s="133">
        <f t="shared" si="1"/>
        <v>1</v>
      </c>
      <c r="F20" s="133">
        <f t="shared" si="2"/>
        <v>105206049</v>
      </c>
      <c r="G20" s="241">
        <f t="shared" si="3"/>
        <v>10257</v>
      </c>
      <c r="H20" s="133">
        <f t="shared" si="4"/>
        <v>4.0110203555162567</v>
      </c>
      <c r="I20" s="133">
        <f t="shared" si="5"/>
        <v>0</v>
      </c>
      <c r="J20" s="133">
        <f t="shared" si="6"/>
        <v>9.235715678307411</v>
      </c>
    </row>
    <row r="21" spans="1:10" ht="15.75" x14ac:dyDescent="0.25">
      <c r="A21" s="239" t="s">
        <v>176</v>
      </c>
      <c r="B21" s="238">
        <v>1.2</v>
      </c>
      <c r="C21" s="240">
        <v>11235</v>
      </c>
      <c r="D21" s="133">
        <f t="shared" si="0"/>
        <v>8.9007565643079667E-5</v>
      </c>
      <c r="E21" s="133">
        <f t="shared" si="1"/>
        <v>0.83333333333333337</v>
      </c>
      <c r="F21" s="133">
        <f t="shared" si="2"/>
        <v>126225225</v>
      </c>
      <c r="G21" s="241">
        <f t="shared" si="3"/>
        <v>11235</v>
      </c>
      <c r="H21" s="133">
        <f t="shared" si="4"/>
        <v>4.050573076755148</v>
      </c>
      <c r="I21" s="133">
        <f t="shared" si="5"/>
        <v>7.9181246047624818E-2</v>
      </c>
      <c r="J21" s="133">
        <f t="shared" si="6"/>
        <v>9.3267891846194289</v>
      </c>
    </row>
    <row r="22" spans="1:10" ht="15.75" x14ac:dyDescent="0.25">
      <c r="A22" s="239" t="s">
        <v>179</v>
      </c>
      <c r="B22" s="238">
        <v>0.9</v>
      </c>
      <c r="C22" s="240">
        <v>27829</v>
      </c>
      <c r="D22" s="133">
        <f t="shared" si="0"/>
        <v>3.5933738186783574E-5</v>
      </c>
      <c r="E22" s="133">
        <f t="shared" si="1"/>
        <v>1.1111111111111112</v>
      </c>
      <c r="F22" s="133">
        <f t="shared" si="2"/>
        <v>774453241</v>
      </c>
      <c r="G22" s="241">
        <f t="shared" si="3"/>
        <v>27829</v>
      </c>
      <c r="H22" s="133">
        <f t="shared" si="4"/>
        <v>4.4444976007902151</v>
      </c>
      <c r="I22" s="133">
        <f t="shared" si="5"/>
        <v>-4.5757490560675115E-2</v>
      </c>
      <c r="J22" s="133">
        <f t="shared" si="6"/>
        <v>10.233833921427351</v>
      </c>
    </row>
    <row r="23" spans="1:10" ht="15.75" x14ac:dyDescent="0.25">
      <c r="A23" s="239" t="s">
        <v>182</v>
      </c>
      <c r="B23" s="238">
        <v>0.8</v>
      </c>
      <c r="C23" s="240">
        <v>14043</v>
      </c>
      <c r="D23" s="133">
        <f t="shared" si="0"/>
        <v>7.1209855443993449E-5</v>
      </c>
      <c r="E23" s="133">
        <f t="shared" si="1"/>
        <v>1.25</v>
      </c>
      <c r="F23" s="133">
        <f t="shared" si="2"/>
        <v>197205849</v>
      </c>
      <c r="G23" s="241">
        <f t="shared" si="3"/>
        <v>14043</v>
      </c>
      <c r="H23" s="133">
        <f t="shared" si="4"/>
        <v>4.1474598958471045</v>
      </c>
      <c r="I23" s="133">
        <f t="shared" si="5"/>
        <v>-9.6910013008056392E-2</v>
      </c>
      <c r="J23" s="133">
        <f t="shared" si="6"/>
        <v>9.5498793299681797</v>
      </c>
    </row>
    <row r="24" spans="1:10" ht="15.75" x14ac:dyDescent="0.25">
      <c r="A24" s="239" t="s">
        <v>183</v>
      </c>
      <c r="B24" s="238">
        <v>1.7</v>
      </c>
      <c r="C24" s="240">
        <v>9935</v>
      </c>
      <c r="D24" s="133">
        <f t="shared" si="0"/>
        <v>1.0065425264217414E-4</v>
      </c>
      <c r="E24" s="133">
        <f t="shared" si="1"/>
        <v>0.58823529411764708</v>
      </c>
      <c r="F24" s="133">
        <f t="shared" si="2"/>
        <v>98704225</v>
      </c>
      <c r="G24" s="241">
        <f t="shared" si="3"/>
        <v>9935</v>
      </c>
      <c r="H24" s="133">
        <f t="shared" si="4"/>
        <v>3.9971678714458339</v>
      </c>
      <c r="I24" s="133">
        <f t="shared" si="5"/>
        <v>0.23044892137827391</v>
      </c>
      <c r="J24" s="133">
        <f t="shared" si="6"/>
        <v>9.2038191549859167</v>
      </c>
    </row>
    <row r="25" spans="1:10" ht="15.75" x14ac:dyDescent="0.25">
      <c r="A25" s="239" t="s">
        <v>184</v>
      </c>
      <c r="B25" s="238">
        <v>1.8</v>
      </c>
      <c r="C25" s="240">
        <v>13467</v>
      </c>
      <c r="D25" s="133">
        <f t="shared" si="0"/>
        <v>7.425558773297691E-5</v>
      </c>
      <c r="E25" s="133">
        <f t="shared" si="1"/>
        <v>0.55555555555555558</v>
      </c>
      <c r="F25" s="133">
        <f t="shared" si="2"/>
        <v>181360089</v>
      </c>
      <c r="G25" s="241">
        <f t="shared" si="3"/>
        <v>13467</v>
      </c>
      <c r="H25" s="133">
        <f t="shared" si="4"/>
        <v>4.1292708601213155</v>
      </c>
      <c r="I25" s="133">
        <f t="shared" si="5"/>
        <v>0.25527250510330607</v>
      </c>
      <c r="J25" s="133">
        <f t="shared" si="6"/>
        <v>9.5079975274500423</v>
      </c>
    </row>
    <row r="26" spans="1:10" ht="15.75" x14ac:dyDescent="0.25">
      <c r="A26" s="239" t="s">
        <v>185</v>
      </c>
      <c r="B26" s="238">
        <v>1.8</v>
      </c>
      <c r="C26" s="240">
        <v>33459</v>
      </c>
      <c r="D26" s="133">
        <f t="shared" si="0"/>
        <v>2.9887324785558443E-5</v>
      </c>
      <c r="E26" s="133">
        <f t="shared" si="1"/>
        <v>0.55555555555555558</v>
      </c>
      <c r="F26" s="133">
        <f t="shared" si="2"/>
        <v>1119504681</v>
      </c>
      <c r="G26" s="241">
        <f t="shared" si="3"/>
        <v>33459</v>
      </c>
      <c r="H26" s="133">
        <f t="shared" si="4"/>
        <v>4.5245129569201055</v>
      </c>
      <c r="I26" s="133">
        <f t="shared" si="5"/>
        <v>0.25527250510330607</v>
      </c>
      <c r="J26" s="133">
        <f t="shared" si="6"/>
        <v>10.418076087662646</v>
      </c>
    </row>
    <row r="27" spans="1:10" ht="15.75" x14ac:dyDescent="0.25">
      <c r="A27" s="239" t="s">
        <v>188</v>
      </c>
      <c r="B27" s="238">
        <v>0.9</v>
      </c>
      <c r="C27" s="240">
        <v>14219</v>
      </c>
      <c r="D27" s="133">
        <f t="shared" si="0"/>
        <v>7.032843378577959E-5</v>
      </c>
      <c r="E27" s="133">
        <f t="shared" si="1"/>
        <v>1.1111111111111112</v>
      </c>
      <c r="F27" s="133">
        <f t="shared" si="2"/>
        <v>202179961</v>
      </c>
      <c r="G27" s="241">
        <f t="shared" si="3"/>
        <v>14219</v>
      </c>
      <c r="H27" s="133">
        <f t="shared" si="4"/>
        <v>4.1528690542170121</v>
      </c>
      <c r="I27" s="133">
        <f t="shared" si="5"/>
        <v>-4.5757490560675115E-2</v>
      </c>
      <c r="J27" s="133">
        <f t="shared" si="6"/>
        <v>9.5623343773963736</v>
      </c>
    </row>
    <row r="28" spans="1:10" ht="15.75" x14ac:dyDescent="0.25">
      <c r="A28" s="239" t="s">
        <v>189</v>
      </c>
      <c r="B28" s="238">
        <v>0.9</v>
      </c>
      <c r="C28" s="240">
        <v>10195</v>
      </c>
      <c r="D28" s="133">
        <f t="shared" si="0"/>
        <v>9.8087297694948511E-5</v>
      </c>
      <c r="E28" s="133">
        <f t="shared" si="1"/>
        <v>1.1111111111111112</v>
      </c>
      <c r="F28" s="133">
        <f t="shared" si="2"/>
        <v>103938025</v>
      </c>
      <c r="G28" s="241">
        <f t="shared" si="3"/>
        <v>10195</v>
      </c>
      <c r="H28" s="133">
        <f t="shared" si="4"/>
        <v>4.0083872301141588</v>
      </c>
      <c r="I28" s="133">
        <f t="shared" si="5"/>
        <v>-4.5757490560675115E-2</v>
      </c>
      <c r="J28" s="133">
        <f t="shared" si="6"/>
        <v>9.2296526830085561</v>
      </c>
    </row>
    <row r="29" spans="1:10" ht="15.75" x14ac:dyDescent="0.25">
      <c r="A29" s="239" t="s">
        <v>190</v>
      </c>
      <c r="B29" s="238">
        <v>1.1000000000000001</v>
      </c>
      <c r="C29" s="240">
        <v>20961</v>
      </c>
      <c r="D29" s="133">
        <f t="shared" si="0"/>
        <v>4.7707647535900004E-5</v>
      </c>
      <c r="E29" s="133">
        <f t="shared" si="1"/>
        <v>0.90909090909090906</v>
      </c>
      <c r="F29" s="133">
        <f t="shared" si="2"/>
        <v>439363521</v>
      </c>
      <c r="G29" s="241">
        <f t="shared" si="3"/>
        <v>20961</v>
      </c>
      <c r="H29" s="133">
        <f t="shared" si="4"/>
        <v>4.321411997974006</v>
      </c>
      <c r="I29" s="133">
        <f t="shared" si="5"/>
        <v>4.1392685158225077E-2</v>
      </c>
      <c r="J29" s="133">
        <f t="shared" si="6"/>
        <v>9.9504188472205612</v>
      </c>
    </row>
    <row r="30" spans="1:10" ht="15.75" x14ac:dyDescent="0.25">
      <c r="A30" s="239" t="s">
        <v>193</v>
      </c>
      <c r="B30" s="238">
        <v>0.5</v>
      </c>
      <c r="C30" s="240">
        <v>58486</v>
      </c>
      <c r="D30" s="133">
        <f t="shared" si="0"/>
        <v>1.7098108949150223E-5</v>
      </c>
      <c r="E30" s="133">
        <f t="shared" si="1"/>
        <v>2</v>
      </c>
      <c r="F30" s="133">
        <f t="shared" si="2"/>
        <v>3420612196</v>
      </c>
      <c r="G30" s="241">
        <f t="shared" si="3"/>
        <v>58486</v>
      </c>
      <c r="H30" s="133">
        <f t="shared" si="4"/>
        <v>4.7670519199215171</v>
      </c>
      <c r="I30" s="133">
        <f t="shared" si="5"/>
        <v>-0.3010299956639812</v>
      </c>
      <c r="J30" s="133">
        <f t="shared" si="6"/>
        <v>10.976542688339931</v>
      </c>
    </row>
    <row r="31" spans="1:10" ht="15.75" x14ac:dyDescent="0.25">
      <c r="A31" s="239" t="s">
        <v>206</v>
      </c>
      <c r="B31" s="238">
        <v>0.5</v>
      </c>
      <c r="C31" s="240">
        <v>115188</v>
      </c>
      <c r="D31" s="133">
        <f t="shared" si="0"/>
        <v>8.6814598742924607E-6</v>
      </c>
      <c r="E31" s="133">
        <f t="shared" si="1"/>
        <v>2</v>
      </c>
      <c r="F31" s="133">
        <f t="shared" si="2"/>
        <v>13268275344</v>
      </c>
      <c r="G31" s="241">
        <f t="shared" si="3"/>
        <v>115188</v>
      </c>
      <c r="H31" s="133">
        <f t="shared" si="4"/>
        <v>5.0614072377222996</v>
      </c>
      <c r="I31" s="133">
        <f t="shared" si="5"/>
        <v>-0.3010299956639812</v>
      </c>
      <c r="J31" s="133">
        <f t="shared" si="6"/>
        <v>11.654320855151537</v>
      </c>
    </row>
    <row r="32" spans="1:10" ht="15.75" x14ac:dyDescent="0.25">
      <c r="A32" s="242" t="s">
        <v>475</v>
      </c>
      <c r="B32" s="243">
        <f>SUM(B16:B31)</f>
        <v>18.000000000000004</v>
      </c>
      <c r="C32" s="243">
        <f>SUM(C16:C31)</f>
        <v>400216</v>
      </c>
      <c r="D32" s="243">
        <f t="shared" ref="D32:J32" si="7">SUM(D16:D31)</f>
        <v>1.0158751055959372E-3</v>
      </c>
      <c r="E32" s="243">
        <f t="shared" si="7"/>
        <v>17.728807684690036</v>
      </c>
      <c r="F32" s="243">
        <f t="shared" si="7"/>
        <v>21012269112</v>
      </c>
      <c r="G32" s="243">
        <f t="shared" si="7"/>
        <v>400216</v>
      </c>
      <c r="H32" s="243">
        <f t="shared" si="7"/>
        <v>68.304378188724428</v>
      </c>
      <c r="I32" s="243">
        <f t="shared" si="7"/>
        <v>1.2991651698966322E-2</v>
      </c>
      <c r="J32" s="243">
        <f t="shared" si="7"/>
        <v>157.27664300358447</v>
      </c>
    </row>
    <row r="35" spans="2:2" x14ac:dyDescent="0.25">
      <c r="B35" s="141" t="s">
        <v>484</v>
      </c>
    </row>
    <row r="54" spans="1:2" x14ac:dyDescent="0.25">
      <c r="A54" s="141" t="s">
        <v>485</v>
      </c>
    </row>
    <row r="55" spans="1:2" x14ac:dyDescent="0.25">
      <c r="A55" t="s">
        <v>486</v>
      </c>
    </row>
    <row r="57" spans="1:2" x14ac:dyDescent="0.25">
      <c r="A57" t="s">
        <v>487</v>
      </c>
    </row>
    <row r="58" spans="1:2" ht="15.75" thickBot="1" x14ac:dyDescent="0.3"/>
    <row r="59" spans="1:2" x14ac:dyDescent="0.25">
      <c r="A59" s="247" t="s">
        <v>338</v>
      </c>
      <c r="B59" s="247"/>
    </row>
    <row r="60" spans="1:2" x14ac:dyDescent="0.25">
      <c r="A60" s="244" t="s">
        <v>529</v>
      </c>
      <c r="B60" s="244">
        <v>0.36422541158457422</v>
      </c>
    </row>
    <row r="61" spans="1:2" x14ac:dyDescent="0.25">
      <c r="A61" s="244" t="s">
        <v>520</v>
      </c>
      <c r="B61" s="244">
        <v>0.13266015044395249</v>
      </c>
    </row>
    <row r="62" spans="1:2" x14ac:dyDescent="0.25">
      <c r="A62" s="244" t="s">
        <v>341</v>
      </c>
      <c r="B62" s="244">
        <v>7.0707304047091954E-2</v>
      </c>
    </row>
    <row r="63" spans="1:2" x14ac:dyDescent="0.25">
      <c r="A63" s="244" t="s">
        <v>342</v>
      </c>
      <c r="B63" s="244">
        <v>0.57571497133842531</v>
      </c>
    </row>
    <row r="64" spans="1:2" ht="15.75" thickBot="1" x14ac:dyDescent="0.3">
      <c r="A64" s="245" t="s">
        <v>343</v>
      </c>
      <c r="B64" s="245">
        <v>16</v>
      </c>
    </row>
    <row r="66" spans="1:9" ht="15.75" thickBot="1" x14ac:dyDescent="0.3">
      <c r="A66" t="s">
        <v>344</v>
      </c>
    </row>
    <row r="67" spans="1:9" x14ac:dyDescent="0.25">
      <c r="A67" s="246"/>
      <c r="B67" s="246" t="s">
        <v>348</v>
      </c>
      <c r="C67" s="246" t="s">
        <v>349</v>
      </c>
      <c r="D67" s="246" t="s">
        <v>350</v>
      </c>
      <c r="E67" s="246" t="s">
        <v>351</v>
      </c>
      <c r="F67" s="246" t="s">
        <v>352</v>
      </c>
    </row>
    <row r="68" spans="1:9" x14ac:dyDescent="0.25">
      <c r="A68" s="244" t="s">
        <v>345</v>
      </c>
      <c r="B68" s="244">
        <v>1</v>
      </c>
      <c r="C68" s="244">
        <v>0.70973180487514576</v>
      </c>
      <c r="D68" s="244">
        <v>0.70973180487514576</v>
      </c>
      <c r="E68" s="244">
        <v>2.1413084008142529</v>
      </c>
      <c r="F68" s="244">
        <v>0.1654675426004443</v>
      </c>
    </row>
    <row r="69" spans="1:9" x14ac:dyDescent="0.25">
      <c r="A69" s="244" t="s">
        <v>346</v>
      </c>
      <c r="B69" s="244">
        <v>14</v>
      </c>
      <c r="C69" s="244">
        <v>4.6402681951248539</v>
      </c>
      <c r="D69" s="244">
        <v>0.33144772822320384</v>
      </c>
      <c r="E69" s="244"/>
      <c r="F69" s="244"/>
    </row>
    <row r="70" spans="1:9" ht="15.75" thickBot="1" x14ac:dyDescent="0.3">
      <c r="A70" s="245" t="s">
        <v>303</v>
      </c>
      <c r="B70" s="245">
        <v>15</v>
      </c>
      <c r="C70" s="245">
        <v>5.35</v>
      </c>
      <c r="D70" s="245"/>
      <c r="E70" s="245"/>
      <c r="F70" s="245"/>
    </row>
    <row r="71" spans="1:9" ht="15.75" thickBot="1" x14ac:dyDescent="0.3"/>
    <row r="72" spans="1:9" x14ac:dyDescent="0.25">
      <c r="A72" s="246"/>
      <c r="B72" s="246" t="s">
        <v>353</v>
      </c>
      <c r="C72" s="246" t="s">
        <v>342</v>
      </c>
      <c r="D72" s="246" t="s">
        <v>354</v>
      </c>
      <c r="E72" s="246" t="s">
        <v>355</v>
      </c>
      <c r="F72" s="246" t="s">
        <v>356</v>
      </c>
      <c r="G72" s="246" t="s">
        <v>357</v>
      </c>
      <c r="H72" s="246" t="s">
        <v>358</v>
      </c>
      <c r="I72" s="246" t="s">
        <v>359</v>
      </c>
    </row>
    <row r="73" spans="1:9" x14ac:dyDescent="0.25">
      <c r="A73" s="244" t="s">
        <v>533</v>
      </c>
      <c r="B73" s="248">
        <v>1.3259075760014274</v>
      </c>
      <c r="C73" s="244">
        <v>0.19891096523334054</v>
      </c>
      <c r="D73" s="244">
        <v>6.6658345076452576</v>
      </c>
      <c r="E73" s="244">
        <v>1.0682217376515099E-5</v>
      </c>
      <c r="F73" s="244">
        <v>0.89928598568807738</v>
      </c>
      <c r="G73" s="244">
        <v>1.7525291663147775</v>
      </c>
      <c r="H73" s="244">
        <v>0.89928598568807738</v>
      </c>
      <c r="I73" s="244">
        <v>1.7525291663147775</v>
      </c>
    </row>
    <row r="74" spans="1:9" ht="15.75" thickBot="1" x14ac:dyDescent="0.3">
      <c r="A74" s="245" t="s">
        <v>534</v>
      </c>
      <c r="B74" s="249">
        <v>-8.0319657785366721E-6</v>
      </c>
      <c r="C74" s="245">
        <v>5.4888610779431985E-6</v>
      </c>
      <c r="D74" s="245">
        <v>-1.463321017690328</v>
      </c>
      <c r="E74" s="245">
        <v>0.165467542600444</v>
      </c>
      <c r="F74" s="245">
        <v>-1.9804401950339416E-5</v>
      </c>
      <c r="G74" s="245">
        <v>3.7404703932660697E-6</v>
      </c>
      <c r="H74" s="245">
        <v>-1.9804401950339416E-5</v>
      </c>
      <c r="I74" s="245">
        <v>3.7404703932660697E-6</v>
      </c>
    </row>
    <row r="76" spans="1:9" x14ac:dyDescent="0.25">
      <c r="A76" t="s">
        <v>488</v>
      </c>
    </row>
    <row r="78" spans="1:9" x14ac:dyDescent="0.25">
      <c r="B78" s="250" t="s">
        <v>489</v>
      </c>
      <c r="C78" s="250"/>
    </row>
    <row r="80" spans="1:9" x14ac:dyDescent="0.25">
      <c r="A80" s="141" t="s">
        <v>490</v>
      </c>
    </row>
    <row r="81" spans="1:6" x14ac:dyDescent="0.25">
      <c r="A81" t="s">
        <v>491</v>
      </c>
    </row>
    <row r="83" spans="1:6" x14ac:dyDescent="0.25">
      <c r="A83" t="s">
        <v>487</v>
      </c>
    </row>
    <row r="84" spans="1:6" ht="15.75" thickBot="1" x14ac:dyDescent="0.3"/>
    <row r="85" spans="1:6" x14ac:dyDescent="0.25">
      <c r="A85" s="247" t="s">
        <v>338</v>
      </c>
      <c r="B85" s="247"/>
    </row>
    <row r="86" spans="1:6" x14ac:dyDescent="0.25">
      <c r="A86" s="244" t="s">
        <v>530</v>
      </c>
      <c r="B86" s="244">
        <v>0.36393525760588114</v>
      </c>
    </row>
    <row r="87" spans="1:6" x14ac:dyDescent="0.25">
      <c r="A87" s="244" t="s">
        <v>531</v>
      </c>
      <c r="B87" s="244">
        <v>0.13244887172865905</v>
      </c>
    </row>
    <row r="88" spans="1:6" x14ac:dyDescent="0.25">
      <c r="A88" s="244" t="s">
        <v>341</v>
      </c>
      <c r="B88" s="244">
        <v>7.0480933994991821E-2</v>
      </c>
    </row>
    <row r="89" spans="1:6" x14ac:dyDescent="0.25">
      <c r="A89" s="244" t="s">
        <v>342</v>
      </c>
      <c r="B89" s="244">
        <v>0.575785087402513</v>
      </c>
    </row>
    <row r="90" spans="1:6" ht="15.75" thickBot="1" x14ac:dyDescent="0.3">
      <c r="A90" s="245" t="s">
        <v>343</v>
      </c>
      <c r="B90" s="245">
        <v>16</v>
      </c>
    </row>
    <row r="92" spans="1:6" ht="15.75" thickBot="1" x14ac:dyDescent="0.3">
      <c r="A92" t="s">
        <v>344</v>
      </c>
    </row>
    <row r="93" spans="1:6" x14ac:dyDescent="0.25">
      <c r="A93" s="246"/>
      <c r="B93" s="246" t="s">
        <v>348</v>
      </c>
      <c r="C93" s="246" t="s">
        <v>349</v>
      </c>
      <c r="D93" s="246" t="s">
        <v>350</v>
      </c>
      <c r="E93" s="246" t="s">
        <v>351</v>
      </c>
      <c r="F93" s="246" t="s">
        <v>352</v>
      </c>
    </row>
    <row r="94" spans="1:6" x14ac:dyDescent="0.25">
      <c r="A94" s="244" t="s">
        <v>345</v>
      </c>
      <c r="B94" s="244">
        <v>1</v>
      </c>
      <c r="C94" s="244">
        <v>0.70860146374832578</v>
      </c>
      <c r="D94" s="244">
        <v>0.70860146374832578</v>
      </c>
      <c r="E94" s="244">
        <v>2.137377433761193</v>
      </c>
      <c r="F94" s="244">
        <v>0.16583006691255553</v>
      </c>
    </row>
    <row r="95" spans="1:6" x14ac:dyDescent="0.25">
      <c r="A95" s="244" t="s">
        <v>346</v>
      </c>
      <c r="B95" s="244">
        <v>14</v>
      </c>
      <c r="C95" s="244">
        <v>4.6413985362516739</v>
      </c>
      <c r="D95" s="244">
        <v>0.33152846687511955</v>
      </c>
      <c r="E95" s="244"/>
      <c r="F95" s="244"/>
    </row>
    <row r="96" spans="1:6" ht="15.75" thickBot="1" x14ac:dyDescent="0.3">
      <c r="A96" s="245" t="s">
        <v>303</v>
      </c>
      <c r="B96" s="245">
        <v>15</v>
      </c>
      <c r="C96" s="245">
        <v>5.35</v>
      </c>
      <c r="D96" s="245"/>
      <c r="E96" s="245"/>
      <c r="F96" s="245"/>
    </row>
    <row r="97" spans="1:9" ht="15.75" thickBot="1" x14ac:dyDescent="0.3"/>
    <row r="98" spans="1:9" x14ac:dyDescent="0.25">
      <c r="A98" s="246"/>
      <c r="B98" s="246" t="s">
        <v>353</v>
      </c>
      <c r="C98" s="246" t="s">
        <v>342</v>
      </c>
      <c r="D98" s="246" t="s">
        <v>354</v>
      </c>
      <c r="E98" s="246" t="s">
        <v>355</v>
      </c>
      <c r="F98" s="246" t="s">
        <v>356</v>
      </c>
      <c r="G98" s="246" t="s">
        <v>357</v>
      </c>
      <c r="H98" s="246" t="s">
        <v>358</v>
      </c>
      <c r="I98" s="246" t="s">
        <v>359</v>
      </c>
    </row>
    <row r="99" spans="1:9" x14ac:dyDescent="0.25">
      <c r="A99" s="244" t="s">
        <v>533</v>
      </c>
      <c r="B99" s="251">
        <v>0.65400850814295286</v>
      </c>
      <c r="C99" s="244">
        <v>0.35285690313175855</v>
      </c>
      <c r="D99" s="244">
        <v>1.8534666669075843</v>
      </c>
      <c r="E99" s="244">
        <v>8.5006180181301488E-2</v>
      </c>
      <c r="F99" s="244">
        <v>-0.10279428043394512</v>
      </c>
      <c r="G99" s="244">
        <v>1.4108112967198507</v>
      </c>
      <c r="H99" s="244">
        <v>-0.10279428043394512</v>
      </c>
      <c r="I99" s="244">
        <v>1.4108112967198507</v>
      </c>
    </row>
    <row r="100" spans="1:9" ht="15.75" thickBot="1" x14ac:dyDescent="0.3">
      <c r="A100" s="245" t="s">
        <v>535</v>
      </c>
      <c r="B100" s="252">
        <v>7418.1007371885889</v>
      </c>
      <c r="C100" s="245">
        <v>5074.0193232082665</v>
      </c>
      <c r="D100" s="245">
        <v>1.4619772343512039</v>
      </c>
      <c r="E100" s="245">
        <v>0.16583006691255534</v>
      </c>
      <c r="F100" s="245">
        <v>-3464.588361466208</v>
      </c>
      <c r="G100" s="245">
        <v>18300.789835843385</v>
      </c>
      <c r="H100" s="245">
        <v>-3464.588361466208</v>
      </c>
      <c r="I100" s="245">
        <v>18300.789835843385</v>
      </c>
    </row>
    <row r="102" spans="1:9" x14ac:dyDescent="0.25">
      <c r="A102" t="s">
        <v>492</v>
      </c>
    </row>
    <row r="104" spans="1:9" x14ac:dyDescent="0.25">
      <c r="B104" s="250" t="s">
        <v>493</v>
      </c>
      <c r="C104" s="250"/>
    </row>
    <row r="106" spans="1:9" x14ac:dyDescent="0.25">
      <c r="A106" s="141" t="s">
        <v>494</v>
      </c>
    </row>
    <row r="107" spans="1:9" x14ac:dyDescent="0.25">
      <c r="A107" t="s">
        <v>495</v>
      </c>
    </row>
    <row r="109" spans="1:9" x14ac:dyDescent="0.25">
      <c r="A109" t="s">
        <v>487</v>
      </c>
    </row>
    <row r="110" spans="1:9" ht="15.75" thickBot="1" x14ac:dyDescent="0.3"/>
    <row r="111" spans="1:9" x14ac:dyDescent="0.25">
      <c r="A111" s="247" t="s">
        <v>338</v>
      </c>
      <c r="B111" s="247"/>
    </row>
    <row r="112" spans="1:9" x14ac:dyDescent="0.25">
      <c r="A112" s="244" t="s">
        <v>532</v>
      </c>
      <c r="B112" s="244">
        <v>0.60317656912868312</v>
      </c>
    </row>
    <row r="113" spans="1:9" x14ac:dyDescent="0.25">
      <c r="A113" s="244" t="s">
        <v>531</v>
      </c>
      <c r="B113" s="244">
        <v>0.363821973545849</v>
      </c>
    </row>
    <row r="114" spans="1:9" x14ac:dyDescent="0.25">
      <c r="A114" s="244" t="s">
        <v>341</v>
      </c>
      <c r="B114" s="244">
        <v>0.31838068594198105</v>
      </c>
    </row>
    <row r="115" spans="1:9" x14ac:dyDescent="0.25">
      <c r="A115" s="244" t="s">
        <v>342</v>
      </c>
      <c r="B115" s="244">
        <v>0.41547382896646307</v>
      </c>
    </row>
    <row r="116" spans="1:9" ht="15.75" thickBot="1" x14ac:dyDescent="0.3">
      <c r="A116" s="245" t="s">
        <v>343</v>
      </c>
      <c r="B116" s="245">
        <v>16</v>
      </c>
    </row>
    <row r="118" spans="1:9" ht="15.75" thickBot="1" x14ac:dyDescent="0.3">
      <c r="A118" t="s">
        <v>344</v>
      </c>
    </row>
    <row r="119" spans="1:9" x14ac:dyDescent="0.25">
      <c r="A119" s="246"/>
      <c r="B119" s="246" t="s">
        <v>348</v>
      </c>
      <c r="C119" s="246" t="s">
        <v>349</v>
      </c>
      <c r="D119" s="246" t="s">
        <v>350</v>
      </c>
      <c r="E119" s="246" t="s">
        <v>351</v>
      </c>
      <c r="F119" s="246" t="s">
        <v>352</v>
      </c>
    </row>
    <row r="120" spans="1:9" x14ac:dyDescent="0.25">
      <c r="A120" s="244" t="s">
        <v>345</v>
      </c>
      <c r="B120" s="244">
        <v>1</v>
      </c>
      <c r="C120" s="244">
        <v>1.3820560019766468</v>
      </c>
      <c r="D120" s="244">
        <v>1.3820560019766468</v>
      </c>
      <c r="E120" s="244">
        <v>8.0064186718793753</v>
      </c>
      <c r="F120" s="244">
        <v>1.3378300468654368E-2</v>
      </c>
    </row>
    <row r="121" spans="1:9" x14ac:dyDescent="0.25">
      <c r="A121" s="244" t="s">
        <v>346</v>
      </c>
      <c r="B121" s="244">
        <v>14</v>
      </c>
      <c r="C121" s="244">
        <v>2.4166590357847531</v>
      </c>
      <c r="D121" s="244">
        <v>0.17261850255605379</v>
      </c>
      <c r="E121" s="244"/>
      <c r="F121" s="244"/>
    </row>
    <row r="122" spans="1:9" ht="15.75" thickBot="1" x14ac:dyDescent="0.3">
      <c r="A122" s="245" t="s">
        <v>303</v>
      </c>
      <c r="B122" s="245">
        <v>15</v>
      </c>
      <c r="C122" s="245">
        <v>3.7987150377613998</v>
      </c>
      <c r="D122" s="245"/>
      <c r="E122" s="245"/>
      <c r="F122" s="245"/>
    </row>
    <row r="123" spans="1:9" ht="15.75" thickBot="1" x14ac:dyDescent="0.3"/>
    <row r="124" spans="1:9" x14ac:dyDescent="0.25">
      <c r="A124" s="246"/>
      <c r="B124" s="246" t="s">
        <v>353</v>
      </c>
      <c r="C124" s="246" t="s">
        <v>342</v>
      </c>
      <c r="D124" s="246" t="s">
        <v>354</v>
      </c>
      <c r="E124" s="246" t="s">
        <v>355</v>
      </c>
      <c r="F124" s="246" t="s">
        <v>356</v>
      </c>
      <c r="G124" s="246" t="s">
        <v>357</v>
      </c>
      <c r="H124" s="246" t="s">
        <v>358</v>
      </c>
      <c r="I124" s="246" t="s">
        <v>359</v>
      </c>
    </row>
    <row r="125" spans="1:9" x14ac:dyDescent="0.25">
      <c r="A125" s="244" t="s">
        <v>533</v>
      </c>
      <c r="B125" s="248">
        <v>0.82769309513744749</v>
      </c>
      <c r="C125" s="244">
        <v>0.14354724900897353</v>
      </c>
      <c r="D125" s="244">
        <v>5.76599761299296</v>
      </c>
      <c r="E125" s="244">
        <v>4.8853572799056973E-5</v>
      </c>
      <c r="F125" s="244">
        <v>0.51981486637577889</v>
      </c>
      <c r="G125" s="244">
        <v>1.1355713238991161</v>
      </c>
      <c r="H125" s="244">
        <v>0.51981486637577889</v>
      </c>
      <c r="I125" s="244">
        <v>1.1355713238991161</v>
      </c>
    </row>
    <row r="126" spans="1:9" ht="15.75" thickBot="1" x14ac:dyDescent="0.3">
      <c r="A126" s="245" t="s">
        <v>535</v>
      </c>
      <c r="B126" s="249">
        <v>1.1208242955031476E-5</v>
      </c>
      <c r="C126" s="245">
        <v>3.9611235459386796E-6</v>
      </c>
      <c r="D126" s="245">
        <v>2.8295615688440803</v>
      </c>
      <c r="E126" s="245">
        <v>1.3378300468654387E-2</v>
      </c>
      <c r="F126" s="245">
        <v>2.7124779045044261E-6</v>
      </c>
      <c r="G126" s="245">
        <v>1.9704008005558527E-5</v>
      </c>
      <c r="H126" s="245">
        <v>2.7124779045044261E-6</v>
      </c>
      <c r="I126" s="245">
        <v>1.9704008005558527E-5</v>
      </c>
    </row>
    <row r="128" spans="1:9" x14ac:dyDescent="0.25">
      <c r="A128" t="s">
        <v>496</v>
      </c>
    </row>
    <row r="130" spans="1:2" x14ac:dyDescent="0.25">
      <c r="B130" s="250" t="s">
        <v>497</v>
      </c>
    </row>
    <row r="132" spans="1:2" x14ac:dyDescent="0.25">
      <c r="A132" s="141" t="s">
        <v>498</v>
      </c>
    </row>
    <row r="134" spans="1:2" x14ac:dyDescent="0.25">
      <c r="A134" t="s">
        <v>499</v>
      </c>
    </row>
    <row r="136" spans="1:2" x14ac:dyDescent="0.25">
      <c r="A136" t="s">
        <v>487</v>
      </c>
    </row>
    <row r="137" spans="1:2" ht="15.75" thickBot="1" x14ac:dyDescent="0.3"/>
    <row r="138" spans="1:2" x14ac:dyDescent="0.25">
      <c r="A138" s="247" t="s">
        <v>338</v>
      </c>
      <c r="B138" s="247"/>
    </row>
    <row r="139" spans="1:2" x14ac:dyDescent="0.25">
      <c r="A139" s="244" t="s">
        <v>532</v>
      </c>
      <c r="B139" s="244">
        <v>0.37273779549217501</v>
      </c>
    </row>
    <row r="140" spans="1:2" x14ac:dyDescent="0.25">
      <c r="A140" s="244" t="s">
        <v>531</v>
      </c>
      <c r="B140" s="244">
        <v>0.1389334641883665</v>
      </c>
    </row>
    <row r="141" spans="1:2" x14ac:dyDescent="0.25">
      <c r="A141" s="244" t="s">
        <v>341</v>
      </c>
      <c r="B141" s="244">
        <v>6.4616894481151783E-3</v>
      </c>
    </row>
    <row r="142" spans="1:2" x14ac:dyDescent="0.25">
      <c r="A142" s="244" t="s">
        <v>342</v>
      </c>
      <c r="B142" s="244">
        <v>0.59528312375723558</v>
      </c>
    </row>
    <row r="143" spans="1:2" ht="15.75" thickBot="1" x14ac:dyDescent="0.3">
      <c r="A143" s="245" t="s">
        <v>343</v>
      </c>
      <c r="B143" s="245">
        <v>16</v>
      </c>
    </row>
    <row r="145" spans="1:9" ht="15.75" thickBot="1" x14ac:dyDescent="0.3">
      <c r="A145" t="s">
        <v>344</v>
      </c>
    </row>
    <row r="146" spans="1:9" x14ac:dyDescent="0.25">
      <c r="A146" s="246"/>
      <c r="B146" s="246" t="s">
        <v>348</v>
      </c>
      <c r="C146" s="246" t="s">
        <v>349</v>
      </c>
      <c r="D146" s="246" t="s">
        <v>350</v>
      </c>
      <c r="E146" s="246" t="s">
        <v>351</v>
      </c>
      <c r="F146" s="246" t="s">
        <v>352</v>
      </c>
    </row>
    <row r="147" spans="1:9" x14ac:dyDescent="0.25">
      <c r="A147" s="244" t="s">
        <v>345</v>
      </c>
      <c r="B147" s="244">
        <v>2</v>
      </c>
      <c r="C147" s="244">
        <v>0.74329403340776068</v>
      </c>
      <c r="D147" s="244">
        <v>0.37164701670388034</v>
      </c>
      <c r="E147" s="244">
        <v>1.0487778582327079</v>
      </c>
      <c r="F147" s="244">
        <v>0.37821489064061048</v>
      </c>
    </row>
    <row r="148" spans="1:9" x14ac:dyDescent="0.25">
      <c r="A148" s="244" t="s">
        <v>346</v>
      </c>
      <c r="B148" s="244">
        <v>13</v>
      </c>
      <c r="C148" s="244">
        <v>4.606705966592239</v>
      </c>
      <c r="D148" s="244">
        <v>0.35436199743017222</v>
      </c>
      <c r="E148" s="244"/>
      <c r="F148" s="244"/>
    </row>
    <row r="149" spans="1:9" ht="15.75" thickBot="1" x14ac:dyDescent="0.3">
      <c r="A149" s="245" t="s">
        <v>303</v>
      </c>
      <c r="B149" s="245">
        <v>15</v>
      </c>
      <c r="C149" s="245">
        <v>5.35</v>
      </c>
      <c r="D149" s="245"/>
      <c r="E149" s="245"/>
      <c r="F149" s="245"/>
    </row>
    <row r="150" spans="1:9" ht="15.75" thickBot="1" x14ac:dyDescent="0.3"/>
    <row r="151" spans="1:9" x14ac:dyDescent="0.25">
      <c r="A151" s="246"/>
      <c r="B151" s="246" t="s">
        <v>353</v>
      </c>
      <c r="C151" s="246" t="s">
        <v>342</v>
      </c>
      <c r="D151" s="246" t="s">
        <v>354</v>
      </c>
      <c r="E151" s="246" t="s">
        <v>355</v>
      </c>
      <c r="F151" s="246" t="s">
        <v>356</v>
      </c>
      <c r="G151" s="246" t="s">
        <v>357</v>
      </c>
      <c r="H151" s="246" t="s">
        <v>358</v>
      </c>
      <c r="I151" s="246" t="s">
        <v>359</v>
      </c>
    </row>
    <row r="152" spans="1:9" x14ac:dyDescent="0.25">
      <c r="A152" s="244" t="s">
        <v>533</v>
      </c>
      <c r="B152" s="248">
        <v>1.4260574477144343</v>
      </c>
      <c r="C152" s="244">
        <v>0.38496906736728892</v>
      </c>
      <c r="D152" s="244">
        <v>3.7043429423223508</v>
      </c>
      <c r="E152" s="244">
        <v>2.6480299677177186E-3</v>
      </c>
      <c r="F152" s="244">
        <v>0.59438234086643005</v>
      </c>
      <c r="G152" s="244">
        <v>2.2577325545624385</v>
      </c>
      <c r="H152" s="244">
        <v>0.59438234086643005</v>
      </c>
      <c r="I152" s="244">
        <v>2.2577325545624385</v>
      </c>
    </row>
    <row r="153" spans="1:9" ht="17.25" x14ac:dyDescent="0.25">
      <c r="A153" s="244" t="s">
        <v>537</v>
      </c>
      <c r="B153" s="248">
        <v>6.0974146887175725E-11</v>
      </c>
      <c r="C153" s="244">
        <v>1.9812711150821019E-10</v>
      </c>
      <c r="D153" s="244">
        <v>0.30775266657359518</v>
      </c>
      <c r="E153" s="244">
        <v>0.76314571148156507</v>
      </c>
      <c r="F153" s="244">
        <v>-3.6705345481067022E-10</v>
      </c>
      <c r="G153" s="244">
        <v>4.8900174858502165E-10</v>
      </c>
      <c r="H153" s="244">
        <v>-3.6705345481067022E-10</v>
      </c>
      <c r="I153" s="244">
        <v>4.8900174858502165E-10</v>
      </c>
    </row>
    <row r="154" spans="1:9" ht="15.75" thickBot="1" x14ac:dyDescent="0.3">
      <c r="A154" s="245" t="s">
        <v>536</v>
      </c>
      <c r="B154" s="249">
        <v>-1.5237082842012564E-5</v>
      </c>
      <c r="C154" s="245">
        <v>2.4090121372325413E-5</v>
      </c>
      <c r="D154" s="245">
        <v>-0.63250336544658647</v>
      </c>
      <c r="E154" s="245">
        <v>0.53802445791015985</v>
      </c>
      <c r="F154" s="245">
        <v>-6.7280625985168831E-5</v>
      </c>
      <c r="G154" s="245">
        <v>3.6806460301143697E-5</v>
      </c>
      <c r="H154" s="245">
        <v>-6.7280625985168831E-5</v>
      </c>
      <c r="I154" s="245">
        <v>3.6806460301143697E-5</v>
      </c>
    </row>
    <row r="156" spans="1:9" x14ac:dyDescent="0.25">
      <c r="A156" t="s">
        <v>500</v>
      </c>
    </row>
    <row r="158" spans="1:9" ht="17.25" x14ac:dyDescent="0.25">
      <c r="B158" s="250" t="s">
        <v>501</v>
      </c>
    </row>
    <row r="160" spans="1:9" x14ac:dyDescent="0.25">
      <c r="A160" s="141" t="s">
        <v>502</v>
      </c>
    </row>
    <row r="162" spans="1:6" x14ac:dyDescent="0.25">
      <c r="A162" t="s">
        <v>503</v>
      </c>
    </row>
    <row r="164" spans="1:6" x14ac:dyDescent="0.25">
      <c r="A164" t="s">
        <v>487</v>
      </c>
    </row>
    <row r="165" spans="1:6" ht="15.75" thickBot="1" x14ac:dyDescent="0.3"/>
    <row r="166" spans="1:6" x14ac:dyDescent="0.25">
      <c r="A166" s="247" t="s">
        <v>338</v>
      </c>
      <c r="B166" s="247"/>
    </row>
    <row r="167" spans="1:6" x14ac:dyDescent="0.25">
      <c r="A167" s="244" t="s">
        <v>532</v>
      </c>
      <c r="B167" s="244">
        <v>0.48178962781003831</v>
      </c>
    </row>
    <row r="168" spans="1:6" x14ac:dyDescent="0.25">
      <c r="A168" s="244" t="s">
        <v>531</v>
      </c>
      <c r="B168" s="244">
        <v>0.23212124546533522</v>
      </c>
    </row>
    <row r="169" spans="1:6" x14ac:dyDescent="0.25">
      <c r="A169" s="244" t="s">
        <v>341</v>
      </c>
      <c r="B169" s="244">
        <v>0.17727276299857345</v>
      </c>
    </row>
    <row r="170" spans="1:6" x14ac:dyDescent="0.25">
      <c r="A170" s="244" t="s">
        <v>342</v>
      </c>
      <c r="B170" s="244">
        <v>0.19210288778197837</v>
      </c>
    </row>
    <row r="171" spans="1:6" ht="15.75" thickBot="1" x14ac:dyDescent="0.3">
      <c r="A171" s="245" t="s">
        <v>343</v>
      </c>
      <c r="B171" s="245">
        <v>16</v>
      </c>
    </row>
    <row r="173" spans="1:6" ht="15.75" thickBot="1" x14ac:dyDescent="0.3">
      <c r="A173" t="s">
        <v>344</v>
      </c>
    </row>
    <row r="174" spans="1:6" x14ac:dyDescent="0.25">
      <c r="A174" s="246"/>
      <c r="B174" s="246" t="s">
        <v>348</v>
      </c>
      <c r="C174" s="246" t="s">
        <v>349</v>
      </c>
      <c r="D174" s="246" t="s">
        <v>350</v>
      </c>
      <c r="E174" s="246" t="s">
        <v>351</v>
      </c>
      <c r="F174" s="246" t="s">
        <v>352</v>
      </c>
    </row>
    <row r="175" spans="1:6" x14ac:dyDescent="0.25">
      <c r="A175" s="244" t="s">
        <v>345</v>
      </c>
      <c r="B175" s="244">
        <v>1</v>
      </c>
      <c r="C175" s="244">
        <v>0.15617735481074291</v>
      </c>
      <c r="D175" s="244">
        <v>0.15617735481074291</v>
      </c>
      <c r="E175" s="244">
        <v>4.2320449905975233</v>
      </c>
      <c r="F175" s="244">
        <v>5.8796917173545619E-2</v>
      </c>
    </row>
    <row r="176" spans="1:6" x14ac:dyDescent="0.25">
      <c r="A176" s="244" t="s">
        <v>346</v>
      </c>
      <c r="B176" s="244">
        <v>14</v>
      </c>
      <c r="C176" s="244">
        <v>0.51664927291845519</v>
      </c>
      <c r="D176" s="244">
        <v>3.690351949417537E-2</v>
      </c>
      <c r="E176" s="244"/>
      <c r="F176" s="244"/>
    </row>
    <row r="177" spans="1:9" ht="15.75" thickBot="1" x14ac:dyDescent="0.3">
      <c r="A177" s="245" t="s">
        <v>303</v>
      </c>
      <c r="B177" s="245">
        <v>15</v>
      </c>
      <c r="C177" s="245">
        <v>0.6728266277291981</v>
      </c>
      <c r="D177" s="245"/>
      <c r="E177" s="245"/>
      <c r="F177" s="245"/>
    </row>
    <row r="178" spans="1:9" ht="15.75" thickBot="1" x14ac:dyDescent="0.3"/>
    <row r="179" spans="1:9" x14ac:dyDescent="0.25">
      <c r="A179" s="246"/>
      <c r="B179" s="253" t="s">
        <v>353</v>
      </c>
      <c r="C179" s="246" t="s">
        <v>342</v>
      </c>
      <c r="D179" s="246" t="s">
        <v>354</v>
      </c>
      <c r="E179" s="246" t="s">
        <v>355</v>
      </c>
      <c r="F179" s="246" t="s">
        <v>356</v>
      </c>
      <c r="G179" s="246" t="s">
        <v>357</v>
      </c>
      <c r="H179" s="246" t="s">
        <v>358</v>
      </c>
      <c r="I179" s="246" t="s">
        <v>359</v>
      </c>
    </row>
    <row r="180" spans="1:9" x14ac:dyDescent="0.25">
      <c r="A180" s="244" t="s">
        <v>539</v>
      </c>
      <c r="B180" s="248">
        <v>1.4513373335757831</v>
      </c>
      <c r="C180" s="244">
        <v>0.70673281456767345</v>
      </c>
      <c r="D180" s="244">
        <v>2.0535870185447709</v>
      </c>
      <c r="E180" s="244">
        <v>5.9188021452927654E-2</v>
      </c>
      <c r="F180" s="244">
        <v>-6.445379902364512E-2</v>
      </c>
      <c r="G180" s="244">
        <v>2.9671284661752111</v>
      </c>
      <c r="H180" s="244">
        <v>-6.445379902364512E-2</v>
      </c>
      <c r="I180" s="244">
        <v>2.9671284661752111</v>
      </c>
    </row>
    <row r="181" spans="1:9" ht="15.75" thickBot="1" x14ac:dyDescent="0.3">
      <c r="A181" s="245" t="s">
        <v>538</v>
      </c>
      <c r="B181" s="249">
        <v>-0.33977918108541932</v>
      </c>
      <c r="C181" s="245">
        <v>0.16516637124043479</v>
      </c>
      <c r="D181" s="245">
        <v>-2.0571934742744844</v>
      </c>
      <c r="E181" s="245">
        <v>5.8796917173545619E-2</v>
      </c>
      <c r="F181" s="245">
        <v>-0.69402581541359387</v>
      </c>
      <c r="G181" s="245">
        <v>1.4467453242755279E-2</v>
      </c>
      <c r="H181" s="245">
        <v>-0.69402581541359387</v>
      </c>
      <c r="I181" s="245">
        <v>1.4467453242755279E-2</v>
      </c>
    </row>
    <row r="182" spans="1:9" x14ac:dyDescent="0.25">
      <c r="A182" s="244"/>
    </row>
    <row r="183" spans="1:9" x14ac:dyDescent="0.25">
      <c r="B183" t="s">
        <v>504</v>
      </c>
    </row>
    <row r="184" spans="1:9" x14ac:dyDescent="0.25">
      <c r="B184" t="s">
        <v>508</v>
      </c>
      <c r="C184">
        <f>10^(1.45)</f>
        <v>28.183829312644548</v>
      </c>
    </row>
    <row r="186" spans="1:9" ht="17.25" x14ac:dyDescent="0.25">
      <c r="B186" s="250" t="s">
        <v>505</v>
      </c>
    </row>
    <row r="188" spans="1:9" x14ac:dyDescent="0.25">
      <c r="A188" s="141" t="s">
        <v>506</v>
      </c>
    </row>
    <row r="190" spans="1:9" x14ac:dyDescent="0.25">
      <c r="A190" t="s">
        <v>507</v>
      </c>
    </row>
    <row r="192" spans="1:9" x14ac:dyDescent="0.25">
      <c r="A192" t="s">
        <v>487</v>
      </c>
    </row>
    <row r="193" spans="1:9" ht="15.75" thickBot="1" x14ac:dyDescent="0.3"/>
    <row r="194" spans="1:9" x14ac:dyDescent="0.25">
      <c r="A194" s="247" t="s">
        <v>338</v>
      </c>
      <c r="B194" s="247"/>
    </row>
    <row r="195" spans="1:9" x14ac:dyDescent="0.25">
      <c r="A195" s="244" t="s">
        <v>532</v>
      </c>
      <c r="B195" s="244">
        <v>0.48692087162763831</v>
      </c>
    </row>
    <row r="196" spans="1:9" x14ac:dyDescent="0.25">
      <c r="A196" s="244" t="s">
        <v>531</v>
      </c>
      <c r="B196" s="244">
        <v>0.237091935226619</v>
      </c>
    </row>
    <row r="197" spans="1:9" x14ac:dyDescent="0.25">
      <c r="A197" s="244" t="s">
        <v>341</v>
      </c>
      <c r="B197" s="244">
        <v>0.18259850202852035</v>
      </c>
    </row>
    <row r="198" spans="1:9" x14ac:dyDescent="0.25">
      <c r="A198" s="244" t="s">
        <v>342</v>
      </c>
      <c r="B198" s="244">
        <v>0.19148011095689035</v>
      </c>
    </row>
    <row r="199" spans="1:9" ht="15.75" thickBot="1" x14ac:dyDescent="0.3">
      <c r="A199" s="245" t="s">
        <v>343</v>
      </c>
      <c r="B199" s="245">
        <v>16</v>
      </c>
    </row>
    <row r="201" spans="1:9" ht="15.75" thickBot="1" x14ac:dyDescent="0.3">
      <c r="A201" t="s">
        <v>344</v>
      </c>
    </row>
    <row r="202" spans="1:9" x14ac:dyDescent="0.25">
      <c r="A202" s="246"/>
      <c r="B202" s="246" t="s">
        <v>348</v>
      </c>
      <c r="C202" s="246" t="s">
        <v>349</v>
      </c>
      <c r="D202" s="246" t="s">
        <v>350</v>
      </c>
      <c r="E202" s="246" t="s">
        <v>351</v>
      </c>
      <c r="F202" s="246" t="s">
        <v>352</v>
      </c>
    </row>
    <row r="203" spans="1:9" x14ac:dyDescent="0.25">
      <c r="A203" s="244" t="s">
        <v>345</v>
      </c>
      <c r="B203" s="244">
        <v>1</v>
      </c>
      <c r="C203" s="244">
        <v>0.15952176724031553</v>
      </c>
      <c r="D203" s="244">
        <v>0.15952176724031553</v>
      </c>
      <c r="E203" s="244">
        <v>4.3508349779454063</v>
      </c>
      <c r="F203" s="244">
        <v>5.5771228968370043E-2</v>
      </c>
    </row>
    <row r="204" spans="1:9" x14ac:dyDescent="0.25">
      <c r="A204" s="244" t="s">
        <v>346</v>
      </c>
      <c r="B204" s="244">
        <v>14</v>
      </c>
      <c r="C204" s="244">
        <v>0.51330486048888257</v>
      </c>
      <c r="D204" s="244">
        <v>3.6664632892063044E-2</v>
      </c>
      <c r="E204" s="244"/>
      <c r="F204" s="244"/>
    </row>
    <row r="205" spans="1:9" ht="15.75" thickBot="1" x14ac:dyDescent="0.3">
      <c r="A205" s="245" t="s">
        <v>303</v>
      </c>
      <c r="B205" s="245">
        <v>15</v>
      </c>
      <c r="C205" s="245">
        <v>0.6728266277291981</v>
      </c>
      <c r="D205" s="245"/>
      <c r="E205" s="245"/>
      <c r="F205" s="245"/>
    </row>
    <row r="206" spans="1:9" ht="15.75" thickBot="1" x14ac:dyDescent="0.3"/>
    <row r="207" spans="1:9" x14ac:dyDescent="0.25">
      <c r="A207" s="246"/>
      <c r="B207" s="253" t="s">
        <v>353</v>
      </c>
      <c r="C207" s="246" t="s">
        <v>342</v>
      </c>
      <c r="D207" s="246" t="s">
        <v>354</v>
      </c>
      <c r="E207" s="246" t="s">
        <v>355</v>
      </c>
      <c r="F207" s="246" t="s">
        <v>356</v>
      </c>
      <c r="G207" s="246" t="s">
        <v>357</v>
      </c>
      <c r="H207" s="246" t="s">
        <v>358</v>
      </c>
      <c r="I207" s="246" t="s">
        <v>359</v>
      </c>
    </row>
    <row r="208" spans="1:9" x14ac:dyDescent="0.25">
      <c r="A208" s="244" t="s">
        <v>539</v>
      </c>
      <c r="B208" s="248">
        <v>9.6060700004092323E-2</v>
      </c>
      <c r="C208" s="244">
        <v>6.6156858149573894E-2</v>
      </c>
      <c r="D208" s="244">
        <v>1.4520142384468879</v>
      </c>
      <c r="E208" s="244">
        <v>0.16853859134222426</v>
      </c>
      <c r="F208" s="244">
        <v>-4.5831648669580269E-2</v>
      </c>
      <c r="G208" s="244">
        <v>0.2379530486777649</v>
      </c>
      <c r="H208" s="244">
        <v>-4.5831648669580269E-2</v>
      </c>
      <c r="I208" s="244">
        <v>0.2379530486777649</v>
      </c>
    </row>
    <row r="209" spans="1:9" ht="15.75" thickBot="1" x14ac:dyDescent="0.3">
      <c r="A209" s="245" t="s">
        <v>540</v>
      </c>
      <c r="B209" s="249">
        <v>-3.8078926089074669E-6</v>
      </c>
      <c r="C209" s="245">
        <v>1.8255695622924865E-6</v>
      </c>
      <c r="D209" s="245">
        <v>-2.085865522497893</v>
      </c>
      <c r="E209" s="245">
        <v>5.5771228968370057E-2</v>
      </c>
      <c r="F209" s="245">
        <v>-7.723349903980326E-6</v>
      </c>
      <c r="G209" s="245">
        <v>1.0756468616539128E-7</v>
      </c>
      <c r="H209" s="245">
        <v>-7.723349903980326E-6</v>
      </c>
      <c r="I209" s="245">
        <v>1.0756468616539128E-7</v>
      </c>
    </row>
    <row r="211" spans="1:9" ht="17.25" x14ac:dyDescent="0.25">
      <c r="B211" t="s">
        <v>509</v>
      </c>
      <c r="D211">
        <f>10^(-0.00000381)</f>
        <v>0.99999122718927702</v>
      </c>
    </row>
    <row r="212" spans="1:9" x14ac:dyDescent="0.25">
      <c r="B212" t="s">
        <v>510</v>
      </c>
      <c r="C212">
        <f>10^(0.96)</f>
        <v>9.1201083935590983</v>
      </c>
    </row>
    <row r="214" spans="1:9" ht="17.25" x14ac:dyDescent="0.25">
      <c r="B214" s="250" t="s">
        <v>511</v>
      </c>
    </row>
    <row r="216" spans="1:9" x14ac:dyDescent="0.25">
      <c r="A216" s="141" t="s">
        <v>514</v>
      </c>
    </row>
    <row r="218" spans="1:9" x14ac:dyDescent="0.25">
      <c r="A218" t="s">
        <v>515</v>
      </c>
    </row>
    <row r="220" spans="1:9" x14ac:dyDescent="0.25">
      <c r="A220" t="s">
        <v>487</v>
      </c>
    </row>
    <row r="221" spans="1:9" ht="15.75" thickBot="1" x14ac:dyDescent="0.3"/>
    <row r="222" spans="1:9" x14ac:dyDescent="0.25">
      <c r="A222" s="247" t="s">
        <v>338</v>
      </c>
      <c r="B222" s="247"/>
    </row>
    <row r="223" spans="1:9" x14ac:dyDescent="0.25">
      <c r="A223" s="244" t="s">
        <v>532</v>
      </c>
      <c r="B223" s="244">
        <v>0.37616360587690162</v>
      </c>
    </row>
    <row r="224" spans="1:9" x14ac:dyDescent="0.25">
      <c r="A224" s="244" t="s">
        <v>531</v>
      </c>
      <c r="B224" s="244">
        <v>0.14149905838631296</v>
      </c>
    </row>
    <row r="225" spans="1:9" x14ac:dyDescent="0.25">
      <c r="A225" s="244" t="s">
        <v>341</v>
      </c>
      <c r="B225" s="244">
        <v>8.0177562556763879E-2</v>
      </c>
    </row>
    <row r="226" spans="1:9" x14ac:dyDescent="0.25">
      <c r="A226" s="244" t="s">
        <v>342</v>
      </c>
      <c r="B226" s="244">
        <v>0.57277395426825017</v>
      </c>
    </row>
    <row r="227" spans="1:9" ht="15.75" thickBot="1" x14ac:dyDescent="0.3">
      <c r="A227" s="245" t="s">
        <v>343</v>
      </c>
      <c r="B227" s="245">
        <v>16</v>
      </c>
    </row>
    <row r="229" spans="1:9" ht="15.75" thickBot="1" x14ac:dyDescent="0.3">
      <c r="A229" t="s">
        <v>344</v>
      </c>
    </row>
    <row r="230" spans="1:9" x14ac:dyDescent="0.25">
      <c r="A230" s="246"/>
      <c r="B230" s="246" t="s">
        <v>348</v>
      </c>
      <c r="C230" s="246" t="s">
        <v>349</v>
      </c>
      <c r="D230" s="246" t="s">
        <v>350</v>
      </c>
      <c r="E230" s="246" t="s">
        <v>351</v>
      </c>
      <c r="F230" s="246" t="s">
        <v>352</v>
      </c>
    </row>
    <row r="231" spans="1:9" x14ac:dyDescent="0.25">
      <c r="A231" s="244" t="s">
        <v>345</v>
      </c>
      <c r="B231" s="244">
        <v>1</v>
      </c>
      <c r="C231" s="244">
        <v>0.75701996236677438</v>
      </c>
      <c r="D231" s="244">
        <v>0.75701996236677438</v>
      </c>
      <c r="E231" s="244">
        <v>2.307495217984044</v>
      </c>
      <c r="F231" s="244">
        <v>0.1510082482485301</v>
      </c>
    </row>
    <row r="232" spans="1:9" x14ac:dyDescent="0.25">
      <c r="A232" s="244" t="s">
        <v>346</v>
      </c>
      <c r="B232" s="244">
        <v>14</v>
      </c>
      <c r="C232" s="244">
        <v>4.5929800376332253</v>
      </c>
      <c r="D232" s="244">
        <v>0.3280700026880875</v>
      </c>
      <c r="E232" s="244"/>
      <c r="F232" s="244"/>
    </row>
    <row r="233" spans="1:9" ht="15.75" thickBot="1" x14ac:dyDescent="0.3">
      <c r="A233" s="245" t="s">
        <v>303</v>
      </c>
      <c r="B233" s="245">
        <v>15</v>
      </c>
      <c r="C233" s="245">
        <v>5.35</v>
      </c>
      <c r="D233" s="245"/>
      <c r="E233" s="245"/>
      <c r="F233" s="245"/>
    </row>
    <row r="234" spans="1:9" ht="15.75" thickBot="1" x14ac:dyDescent="0.3"/>
    <row r="235" spans="1:9" x14ac:dyDescent="0.25">
      <c r="A235" s="246"/>
      <c r="B235" s="246" t="s">
        <v>353</v>
      </c>
      <c r="C235" s="246" t="s">
        <v>342</v>
      </c>
      <c r="D235" s="246" t="s">
        <v>354</v>
      </c>
      <c r="E235" s="246" t="s">
        <v>355</v>
      </c>
      <c r="F235" s="246" t="s">
        <v>356</v>
      </c>
      <c r="G235" s="246" t="s">
        <v>357</v>
      </c>
      <c r="H235" s="246" t="s">
        <v>358</v>
      </c>
      <c r="I235" s="246" t="s">
        <v>359</v>
      </c>
    </row>
    <row r="236" spans="1:9" x14ac:dyDescent="0.25">
      <c r="A236" s="244" t="s">
        <v>533</v>
      </c>
      <c r="B236" s="248">
        <v>4.318522344695757</v>
      </c>
      <c r="C236" s="244">
        <v>2.1071945012636677</v>
      </c>
      <c r="D236" s="244">
        <v>2.0494180020429882</v>
      </c>
      <c r="E236" s="244">
        <v>5.9643114963211064E-2</v>
      </c>
      <c r="F236" s="244">
        <v>-0.20096037046815418</v>
      </c>
      <c r="G236" s="244">
        <v>8.8380050598596682</v>
      </c>
      <c r="H236" s="244">
        <v>-0.20096037046815418</v>
      </c>
      <c r="I236" s="244">
        <v>8.8380050598596682</v>
      </c>
    </row>
    <row r="237" spans="1:9" ht="15.75" thickBot="1" x14ac:dyDescent="0.3">
      <c r="A237" s="245" t="s">
        <v>541</v>
      </c>
      <c r="B237" s="249">
        <v>-0.32488204567010992</v>
      </c>
      <c r="C237" s="245">
        <v>0.21387267740150423</v>
      </c>
      <c r="D237" s="245">
        <v>-1.5190441790757931</v>
      </c>
      <c r="E237" s="245">
        <v>0.15100824824852932</v>
      </c>
      <c r="F237" s="245">
        <v>-0.78359331707019519</v>
      </c>
      <c r="G237" s="245">
        <v>0.13382922572997535</v>
      </c>
      <c r="H237" s="245">
        <v>-0.78359331707019519</v>
      </c>
      <c r="I237" s="245">
        <v>0.13382922572997535</v>
      </c>
    </row>
    <row r="239" spans="1:9" x14ac:dyDescent="0.25">
      <c r="A239" t="s">
        <v>516</v>
      </c>
    </row>
    <row r="241" spans="1:13" x14ac:dyDescent="0.25">
      <c r="B241" s="250" t="s">
        <v>517</v>
      </c>
    </row>
    <row r="244" spans="1:13" x14ac:dyDescent="0.25">
      <c r="A244" t="s">
        <v>518</v>
      </c>
    </row>
    <row r="246" spans="1:13" s="117" customFormat="1" ht="45" x14ac:dyDescent="0.25">
      <c r="A246" s="226" t="s">
        <v>519</v>
      </c>
      <c r="B246" s="226" t="s">
        <v>520</v>
      </c>
      <c r="C246" s="226" t="s">
        <v>528</v>
      </c>
    </row>
    <row r="247" spans="1:13" x14ac:dyDescent="0.25">
      <c r="A247" s="133" t="s">
        <v>521</v>
      </c>
      <c r="B247" s="227">
        <f>B61</f>
        <v>0.13266015044395249</v>
      </c>
      <c r="C247" s="227">
        <f>B63</f>
        <v>0.57571497133842531</v>
      </c>
    </row>
    <row r="248" spans="1:13" x14ac:dyDescent="0.25">
      <c r="A248" s="133" t="s">
        <v>522</v>
      </c>
      <c r="B248" s="227">
        <f>B87</f>
        <v>0.13244887172865905</v>
      </c>
      <c r="C248" s="227">
        <f>B89</f>
        <v>0.575785087402513</v>
      </c>
    </row>
    <row r="249" spans="1:13" x14ac:dyDescent="0.25">
      <c r="A249" s="254" t="s">
        <v>523</v>
      </c>
      <c r="B249" s="243">
        <f>B113</f>
        <v>0.363821973545849</v>
      </c>
      <c r="C249" s="243">
        <f>B115</f>
        <v>0.41547382896646307</v>
      </c>
      <c r="D249" s="479" t="s">
        <v>542</v>
      </c>
      <c r="E249" s="480"/>
      <c r="F249" s="480"/>
      <c r="G249" s="480"/>
      <c r="H249" s="480"/>
      <c r="I249" s="480"/>
      <c r="J249" s="480"/>
      <c r="K249" s="480"/>
      <c r="L249" s="480"/>
      <c r="M249" s="480"/>
    </row>
    <row r="250" spans="1:13" x14ac:dyDescent="0.25">
      <c r="A250" s="133" t="s">
        <v>524</v>
      </c>
      <c r="B250" s="227">
        <f>B140</f>
        <v>0.1389334641883665</v>
      </c>
      <c r="C250" s="227">
        <f>B142</f>
        <v>0.59528312375723558</v>
      </c>
      <c r="D250" s="479"/>
      <c r="E250" s="480"/>
      <c r="F250" s="480"/>
      <c r="G250" s="480"/>
      <c r="H250" s="480"/>
      <c r="I250" s="480"/>
      <c r="J250" s="480"/>
      <c r="K250" s="480"/>
      <c r="L250" s="480"/>
      <c r="M250" s="480"/>
    </row>
    <row r="251" spans="1:13" x14ac:dyDescent="0.25">
      <c r="A251" s="133" t="s">
        <v>525</v>
      </c>
      <c r="B251" s="227">
        <f>B196</f>
        <v>0.237091935226619</v>
      </c>
      <c r="C251" s="227">
        <f>B198</f>
        <v>0.19148011095689035</v>
      </c>
    </row>
    <row r="252" spans="1:13" x14ac:dyDescent="0.25">
      <c r="A252" s="133" t="s">
        <v>526</v>
      </c>
      <c r="B252" s="227">
        <f>B168</f>
        <v>0.23212124546533522</v>
      </c>
      <c r="C252" s="227">
        <f>B170</f>
        <v>0.19210288778197837</v>
      </c>
    </row>
    <row r="253" spans="1:13" x14ac:dyDescent="0.25">
      <c r="A253" s="133" t="s">
        <v>527</v>
      </c>
      <c r="B253" s="227">
        <f>B224</f>
        <v>0.14149905838631296</v>
      </c>
      <c r="C253" s="227">
        <f>B226</f>
        <v>0.57277395426825017</v>
      </c>
    </row>
    <row r="255" spans="1:13" ht="11.25" customHeight="1" x14ac:dyDescent="0.25">
      <c r="A255" s="476" t="s">
        <v>543</v>
      </c>
      <c r="B255" s="476"/>
      <c r="C255" s="476"/>
      <c r="D255" s="476"/>
      <c r="E255" s="476"/>
      <c r="F255" s="476"/>
      <c r="G255" s="476"/>
      <c r="H255" s="476"/>
      <c r="I255" s="476"/>
      <c r="J255" s="476"/>
      <c r="K255" s="476"/>
      <c r="L255" s="476"/>
      <c r="M255" s="476"/>
    </row>
    <row r="256" spans="1:13" ht="33.75" customHeight="1" x14ac:dyDescent="0.25">
      <c r="A256" s="476"/>
      <c r="B256" s="476"/>
      <c r="C256" s="476"/>
      <c r="D256" s="476"/>
      <c r="E256" s="476"/>
      <c r="F256" s="476"/>
      <c r="G256" s="476"/>
      <c r="H256" s="476"/>
      <c r="I256" s="476"/>
      <c r="J256" s="476"/>
      <c r="K256" s="476"/>
      <c r="L256" s="476"/>
      <c r="M256" s="476"/>
    </row>
  </sheetData>
  <mergeCells count="2">
    <mergeCell ref="D249:M250"/>
    <mergeCell ref="A255:M256"/>
  </mergeCells>
  <pageMargins left="0.7" right="0.7" top="0.75" bottom="0.75" header="0.3" footer="0.3"/>
  <pageSetup paperSize="9" orientation="portrait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4"/>
  <sheetViews>
    <sheetView view="pageBreakPreview" zoomScale="95" zoomScaleNormal="100" zoomScaleSheetLayoutView="95" workbookViewId="0">
      <selection activeCell="D125" sqref="D125:R126"/>
    </sheetView>
  </sheetViews>
  <sheetFormatPr defaultRowHeight="15" x14ac:dyDescent="0.25"/>
  <cols>
    <col min="2" max="2" width="12.5703125" customWidth="1"/>
    <col min="3" max="3" width="16.140625" customWidth="1"/>
    <col min="4" max="4" width="10" customWidth="1"/>
    <col min="5" max="5" width="10.5703125" customWidth="1"/>
    <col min="6" max="6" width="9.5703125" customWidth="1"/>
    <col min="9" max="9" width="8.85546875" customWidth="1"/>
    <col min="12" max="12" width="9.7109375" customWidth="1"/>
    <col min="15" max="15" width="9.5703125" customWidth="1"/>
  </cols>
  <sheetData>
    <row r="1" spans="1:3" x14ac:dyDescent="0.25">
      <c r="A1" s="141" t="s">
        <v>569</v>
      </c>
    </row>
    <row r="2" spans="1:3" x14ac:dyDescent="0.25">
      <c r="A2" s="141" t="s">
        <v>625</v>
      </c>
    </row>
    <row r="3" spans="1:3" x14ac:dyDescent="0.25">
      <c r="A3" s="454" t="s">
        <v>422</v>
      </c>
      <c r="B3" s="445" t="s">
        <v>428</v>
      </c>
      <c r="C3" s="454" t="s">
        <v>423</v>
      </c>
    </row>
    <row r="4" spans="1:3" x14ac:dyDescent="0.25">
      <c r="A4" s="454"/>
      <c r="B4" s="445"/>
      <c r="C4" s="454"/>
    </row>
    <row r="5" spans="1:3" x14ac:dyDescent="0.25">
      <c r="A5" s="454"/>
      <c r="B5" s="445"/>
      <c r="C5" s="454"/>
    </row>
    <row r="6" spans="1:3" x14ac:dyDescent="0.25">
      <c r="A6" s="454"/>
      <c r="B6" s="445"/>
      <c r="C6" s="454"/>
    </row>
    <row r="7" spans="1:3" x14ac:dyDescent="0.25">
      <c r="A7" s="454"/>
      <c r="B7" s="445"/>
      <c r="C7" s="454"/>
    </row>
    <row r="8" spans="1:3" ht="15.75" x14ac:dyDescent="0.25">
      <c r="A8" s="293">
        <v>1993</v>
      </c>
      <c r="B8" s="295">
        <v>1</v>
      </c>
      <c r="C8" s="294">
        <v>696.2</v>
      </c>
    </row>
    <row r="9" spans="1:3" ht="15.75" x14ac:dyDescent="0.25">
      <c r="A9" s="293">
        <v>1994</v>
      </c>
      <c r="B9" s="295">
        <v>2</v>
      </c>
      <c r="C9" s="294">
        <v>735.9</v>
      </c>
    </row>
    <row r="10" spans="1:3" ht="15.75" x14ac:dyDescent="0.25">
      <c r="A10" s="293">
        <v>1995</v>
      </c>
      <c r="B10" s="295">
        <v>3</v>
      </c>
      <c r="C10" s="294">
        <v>1052.0999999999999</v>
      </c>
    </row>
    <row r="11" spans="1:3" ht="15.75" x14ac:dyDescent="0.25">
      <c r="A11" s="293">
        <v>1996</v>
      </c>
      <c r="B11" s="295">
        <v>4</v>
      </c>
      <c r="C11" s="294">
        <v>1350.4</v>
      </c>
    </row>
    <row r="12" spans="1:3" ht="15.75" x14ac:dyDescent="0.25">
      <c r="A12" s="293">
        <v>1997</v>
      </c>
      <c r="B12" s="295">
        <v>5</v>
      </c>
      <c r="C12" s="294">
        <v>1445.5</v>
      </c>
    </row>
    <row r="13" spans="1:3" ht="15.75" x14ac:dyDescent="0.25">
      <c r="A13" s="293">
        <v>1998</v>
      </c>
      <c r="B13" s="295">
        <v>6</v>
      </c>
      <c r="C13" s="294">
        <v>1468.7</v>
      </c>
    </row>
    <row r="14" spans="1:3" ht="15.75" x14ac:dyDescent="0.25">
      <c r="A14" s="296">
        <v>1999</v>
      </c>
      <c r="B14" s="128">
        <v>7</v>
      </c>
      <c r="C14" s="297">
        <v>1130.0999999999999</v>
      </c>
    </row>
    <row r="15" spans="1:3" ht="15.75" x14ac:dyDescent="0.25">
      <c r="A15" s="293">
        <v>2000</v>
      </c>
      <c r="B15" s="295">
        <v>8</v>
      </c>
      <c r="C15" s="294">
        <v>1229</v>
      </c>
    </row>
    <row r="16" spans="1:3" ht="15.75" x14ac:dyDescent="0.25">
      <c r="A16" s="293">
        <v>2001</v>
      </c>
      <c r="B16" s="295">
        <v>9</v>
      </c>
      <c r="C16" s="294">
        <v>1490.9</v>
      </c>
    </row>
    <row r="17" spans="1:17" ht="15.75" x14ac:dyDescent="0.25">
      <c r="A17" s="293">
        <v>2002</v>
      </c>
      <c r="B17" s="295">
        <v>10</v>
      </c>
      <c r="C17" s="294">
        <v>1658</v>
      </c>
    </row>
    <row r="18" spans="1:17" ht="27.75" customHeight="1" x14ac:dyDescent="0.25">
      <c r="A18" s="293">
        <v>2003</v>
      </c>
      <c r="B18" s="295">
        <v>11</v>
      </c>
      <c r="C18" s="294">
        <v>2068.1</v>
      </c>
      <c r="E18" s="476" t="s">
        <v>574</v>
      </c>
      <c r="F18" s="476"/>
      <c r="G18" s="476"/>
      <c r="H18" s="476"/>
      <c r="I18" s="476"/>
      <c r="J18" s="476"/>
      <c r="K18" s="476"/>
      <c r="L18" s="476"/>
      <c r="M18" s="476"/>
      <c r="N18" s="476"/>
      <c r="O18" s="476"/>
      <c r="P18" s="476"/>
      <c r="Q18" s="476"/>
    </row>
    <row r="19" spans="1:17" ht="15.75" x14ac:dyDescent="0.25">
      <c r="A19" s="293">
        <v>2004</v>
      </c>
      <c r="B19" s="295">
        <v>12</v>
      </c>
      <c r="C19" s="294">
        <v>2874.2</v>
      </c>
      <c r="E19" t="s">
        <v>570</v>
      </c>
    </row>
    <row r="20" spans="1:17" ht="30" customHeight="1" x14ac:dyDescent="0.25">
      <c r="A20" s="293">
        <v>2005</v>
      </c>
      <c r="B20" s="295">
        <v>13</v>
      </c>
      <c r="C20" s="294">
        <v>3771.3</v>
      </c>
      <c r="E20" s="477" t="s">
        <v>580</v>
      </c>
      <c r="F20" s="477"/>
      <c r="G20" s="477"/>
      <c r="H20" s="477"/>
      <c r="I20" s="477"/>
      <c r="J20" s="477"/>
      <c r="K20" s="477"/>
      <c r="L20" s="477"/>
      <c r="M20" s="477"/>
      <c r="N20" s="477"/>
      <c r="O20" s="477"/>
      <c r="P20" s="477"/>
      <c r="Q20" s="477"/>
    </row>
    <row r="21" spans="1:17" ht="15.75" x14ac:dyDescent="0.25">
      <c r="A21" s="293">
        <v>2006</v>
      </c>
      <c r="B21" s="295">
        <v>14</v>
      </c>
      <c r="C21" s="294">
        <v>5291.6</v>
      </c>
      <c r="E21" t="s">
        <v>581</v>
      </c>
    </row>
    <row r="22" spans="1:17" ht="31.5" customHeight="1" x14ac:dyDescent="0.25">
      <c r="A22" s="293">
        <v>2007</v>
      </c>
      <c r="B22" s="295">
        <v>15</v>
      </c>
      <c r="C22" s="294">
        <v>6771.6</v>
      </c>
      <c r="E22" s="488" t="s">
        <v>571</v>
      </c>
      <c r="F22" s="488"/>
      <c r="G22" s="488"/>
      <c r="H22" s="488"/>
      <c r="I22" s="488"/>
      <c r="J22" s="488"/>
      <c r="K22" s="488"/>
      <c r="L22" s="488"/>
      <c r="M22" s="488"/>
      <c r="N22" s="488"/>
      <c r="O22" s="488"/>
      <c r="P22" s="488"/>
      <c r="Q22" s="488"/>
    </row>
    <row r="23" spans="1:17" ht="15.75" x14ac:dyDescent="0.25">
      <c r="A23" s="293">
        <v>2008</v>
      </c>
      <c r="B23" s="295">
        <v>16</v>
      </c>
      <c r="C23" s="294">
        <v>8513.5</v>
      </c>
      <c r="E23" t="s">
        <v>578</v>
      </c>
    </row>
    <row r="24" spans="1:17" ht="15.75" x14ac:dyDescent="0.25">
      <c r="A24" s="296">
        <v>2009</v>
      </c>
      <c r="B24" s="128">
        <v>17</v>
      </c>
      <c r="C24" s="297">
        <v>7164.8</v>
      </c>
      <c r="E24" s="477" t="s">
        <v>572</v>
      </c>
      <c r="F24" s="477"/>
      <c r="G24" s="477"/>
      <c r="H24" s="477"/>
      <c r="I24" s="477"/>
      <c r="J24" s="477"/>
      <c r="K24" s="477"/>
      <c r="L24" s="477"/>
      <c r="M24" s="477"/>
      <c r="N24" s="477"/>
      <c r="O24" s="477"/>
      <c r="P24" s="477"/>
      <c r="Q24" s="477"/>
    </row>
    <row r="25" spans="1:17" ht="15.75" x14ac:dyDescent="0.25">
      <c r="A25" s="293">
        <v>2010</v>
      </c>
      <c r="B25" s="295">
        <v>18</v>
      </c>
      <c r="C25" s="294">
        <v>9070</v>
      </c>
      <c r="E25" s="477"/>
      <c r="F25" s="477"/>
      <c r="G25" s="477"/>
      <c r="H25" s="477"/>
      <c r="I25" s="477"/>
      <c r="J25" s="477"/>
      <c r="K25" s="477"/>
      <c r="L25" s="477"/>
      <c r="M25" s="477"/>
      <c r="N25" s="477"/>
      <c r="O25" s="477"/>
      <c r="P25" s="477"/>
      <c r="Q25" s="477"/>
    </row>
    <row r="26" spans="1:17" ht="15.75" x14ac:dyDescent="0.25">
      <c r="A26" s="293">
        <v>2011</v>
      </c>
      <c r="B26" s="295">
        <v>19</v>
      </c>
      <c r="C26" s="294">
        <v>11634.5</v>
      </c>
      <c r="E26" t="s">
        <v>575</v>
      </c>
    </row>
    <row r="27" spans="1:17" ht="15.75" x14ac:dyDescent="0.25">
      <c r="A27" s="293">
        <v>2012</v>
      </c>
      <c r="B27" s="295">
        <v>20</v>
      </c>
      <c r="C27" s="294">
        <v>12387.4</v>
      </c>
      <c r="E27" t="s">
        <v>576</v>
      </c>
    </row>
    <row r="28" spans="1:17" ht="15.75" x14ac:dyDescent="0.25">
      <c r="A28" s="293">
        <v>2013</v>
      </c>
      <c r="B28" s="295">
        <v>21</v>
      </c>
      <c r="C28" s="294">
        <v>13890.8</v>
      </c>
      <c r="E28" s="477" t="s">
        <v>582</v>
      </c>
      <c r="F28" s="477"/>
      <c r="G28" s="477"/>
      <c r="H28" s="477"/>
      <c r="I28" s="477"/>
      <c r="J28" s="477"/>
      <c r="K28" s="477"/>
      <c r="L28" s="477"/>
      <c r="M28" s="477"/>
      <c r="N28" s="477"/>
      <c r="O28" s="477"/>
      <c r="P28" s="477"/>
      <c r="Q28" s="477"/>
    </row>
    <row r="29" spans="1:17" ht="30.75" customHeight="1" x14ac:dyDescent="0.25">
      <c r="A29" s="296">
        <v>2014</v>
      </c>
      <c r="B29" s="128">
        <v>22</v>
      </c>
      <c r="C29" s="297">
        <v>12806.7</v>
      </c>
      <c r="E29" s="477"/>
      <c r="F29" s="477"/>
      <c r="G29" s="477"/>
      <c r="H29" s="477"/>
      <c r="I29" s="477"/>
      <c r="J29" s="477"/>
      <c r="K29" s="477"/>
      <c r="L29" s="477"/>
      <c r="M29" s="477"/>
      <c r="N29" s="477"/>
      <c r="O29" s="477"/>
      <c r="P29" s="477"/>
      <c r="Q29" s="477"/>
    </row>
    <row r="30" spans="1:17" ht="15.75" x14ac:dyDescent="0.25">
      <c r="A30" s="296">
        <v>2015</v>
      </c>
      <c r="B30" s="128">
        <v>23</v>
      </c>
      <c r="C30" s="297">
        <v>10509.9</v>
      </c>
      <c r="E30" s="477" t="s">
        <v>589</v>
      </c>
      <c r="F30" s="477"/>
      <c r="G30" s="477"/>
      <c r="H30" s="477"/>
      <c r="I30" s="477"/>
      <c r="J30" s="477"/>
      <c r="K30" s="477"/>
      <c r="L30" s="477"/>
      <c r="M30" s="477"/>
      <c r="N30" s="477"/>
      <c r="O30" s="477"/>
      <c r="P30" s="477"/>
      <c r="Q30" s="477"/>
    </row>
    <row r="31" spans="1:17" ht="29.25" customHeight="1" x14ac:dyDescent="0.25">
      <c r="A31" s="296">
        <v>2016</v>
      </c>
      <c r="B31" s="128">
        <v>24</v>
      </c>
      <c r="C31" s="297">
        <v>7714.8</v>
      </c>
      <c r="E31" s="477"/>
      <c r="F31" s="477"/>
      <c r="G31" s="477"/>
      <c r="H31" s="477"/>
      <c r="I31" s="477"/>
      <c r="J31" s="477"/>
      <c r="K31" s="477"/>
      <c r="L31" s="477"/>
      <c r="M31" s="477"/>
      <c r="N31" s="477"/>
      <c r="O31" s="477"/>
      <c r="P31" s="477"/>
      <c r="Q31" s="477"/>
    </row>
    <row r="32" spans="1:17" x14ac:dyDescent="0.25">
      <c r="A32" s="137"/>
      <c r="B32" s="136"/>
      <c r="C32" s="137"/>
    </row>
    <row r="33" spans="1:14" x14ac:dyDescent="0.25">
      <c r="A33" s="300" t="s">
        <v>573</v>
      </c>
      <c r="B33" s="137"/>
      <c r="C33" s="137"/>
    </row>
    <row r="34" spans="1:14" x14ac:dyDescent="0.25">
      <c r="A34" s="138"/>
      <c r="B34" s="137"/>
      <c r="C34" s="137"/>
    </row>
    <row r="35" spans="1:14" ht="45.75" customHeight="1" x14ac:dyDescent="0.25">
      <c r="A35" s="423" t="s">
        <v>583</v>
      </c>
      <c r="B35" s="423"/>
      <c r="C35" s="423"/>
      <c r="D35" s="423"/>
      <c r="E35" s="423"/>
      <c r="F35" s="423"/>
      <c r="G35" s="423"/>
      <c r="H35" s="423"/>
      <c r="I35" s="423"/>
      <c r="J35" s="423"/>
      <c r="K35" s="423"/>
      <c r="L35" s="423"/>
      <c r="M35" s="423"/>
      <c r="N35" s="423"/>
    </row>
    <row r="36" spans="1:14" x14ac:dyDescent="0.25">
      <c r="A36" s="454" t="s">
        <v>422</v>
      </c>
      <c r="B36" s="445" t="s">
        <v>428</v>
      </c>
      <c r="C36" s="454" t="s">
        <v>423</v>
      </c>
      <c r="D36" s="445" t="s">
        <v>579</v>
      </c>
    </row>
    <row r="37" spans="1:14" x14ac:dyDescent="0.25">
      <c r="A37" s="454"/>
      <c r="B37" s="445"/>
      <c r="C37" s="454"/>
      <c r="D37" s="445"/>
    </row>
    <row r="38" spans="1:14" x14ac:dyDescent="0.25">
      <c r="A38" s="454"/>
      <c r="B38" s="445"/>
      <c r="C38" s="454"/>
      <c r="D38" s="445"/>
    </row>
    <row r="39" spans="1:14" x14ac:dyDescent="0.25">
      <c r="A39" s="454"/>
      <c r="B39" s="445"/>
      <c r="C39" s="454"/>
      <c r="D39" s="445"/>
    </row>
    <row r="40" spans="1:14" x14ac:dyDescent="0.25">
      <c r="A40" s="454"/>
      <c r="B40" s="445"/>
      <c r="C40" s="454"/>
      <c r="D40" s="445"/>
    </row>
    <row r="41" spans="1:14" ht="15.75" x14ac:dyDescent="0.25">
      <c r="A41" s="293">
        <v>1993</v>
      </c>
      <c r="B41" s="295">
        <v>1</v>
      </c>
      <c r="C41" s="294">
        <v>696.2</v>
      </c>
      <c r="D41" s="234"/>
    </row>
    <row r="42" spans="1:14" ht="15.75" x14ac:dyDescent="0.25">
      <c r="A42" s="293">
        <v>1994</v>
      </c>
      <c r="B42" s="295">
        <v>2</v>
      </c>
      <c r="C42" s="294">
        <v>735.9</v>
      </c>
      <c r="D42" s="259">
        <f>(C41+C42+C43)/3</f>
        <v>828.06666666666661</v>
      </c>
    </row>
    <row r="43" spans="1:14" ht="15.75" x14ac:dyDescent="0.25">
      <c r="A43" s="293">
        <v>1995</v>
      </c>
      <c r="B43" s="295">
        <v>3</v>
      </c>
      <c r="C43" s="294">
        <v>1052.0999999999999</v>
      </c>
      <c r="D43" s="259">
        <f t="shared" ref="D43:D63" si="0">(C42+C43+C44)/3</f>
        <v>1046.1333333333334</v>
      </c>
    </row>
    <row r="44" spans="1:14" ht="15.75" x14ac:dyDescent="0.25">
      <c r="A44" s="293">
        <v>1996</v>
      </c>
      <c r="B44" s="295">
        <v>4</v>
      </c>
      <c r="C44" s="294">
        <v>1350.4</v>
      </c>
      <c r="D44" s="259">
        <f t="shared" si="0"/>
        <v>1282.6666666666667</v>
      </c>
    </row>
    <row r="45" spans="1:14" ht="15.75" x14ac:dyDescent="0.25">
      <c r="A45" s="293">
        <v>1997</v>
      </c>
      <c r="B45" s="295">
        <v>5</v>
      </c>
      <c r="C45" s="294">
        <v>1445.5</v>
      </c>
      <c r="D45" s="259">
        <f t="shared" si="0"/>
        <v>1421.5333333333335</v>
      </c>
    </row>
    <row r="46" spans="1:14" ht="15.75" x14ac:dyDescent="0.25">
      <c r="A46" s="293">
        <v>1998</v>
      </c>
      <c r="B46" s="295">
        <v>6</v>
      </c>
      <c r="C46" s="294">
        <v>1468.7</v>
      </c>
      <c r="D46" s="259">
        <f t="shared" si="0"/>
        <v>1348.1</v>
      </c>
    </row>
    <row r="47" spans="1:14" ht="15.75" x14ac:dyDescent="0.25">
      <c r="A47" s="296">
        <v>1999</v>
      </c>
      <c r="B47" s="128">
        <v>7</v>
      </c>
      <c r="C47" s="297">
        <v>1130.0999999999999</v>
      </c>
      <c r="D47" s="259">
        <f t="shared" si="0"/>
        <v>1275.9333333333334</v>
      </c>
    </row>
    <row r="48" spans="1:14" ht="15.75" x14ac:dyDescent="0.25">
      <c r="A48" s="293">
        <v>2000</v>
      </c>
      <c r="B48" s="295">
        <v>8</v>
      </c>
      <c r="C48" s="294">
        <v>1229</v>
      </c>
      <c r="D48" s="259">
        <f t="shared" si="0"/>
        <v>1283.3333333333333</v>
      </c>
    </row>
    <row r="49" spans="1:4" ht="15.75" x14ac:dyDescent="0.25">
      <c r="A49" s="293">
        <v>2001</v>
      </c>
      <c r="B49" s="295">
        <v>9</v>
      </c>
      <c r="C49" s="294">
        <v>1490.9</v>
      </c>
      <c r="D49" s="259">
        <f t="shared" si="0"/>
        <v>1459.3</v>
      </c>
    </row>
    <row r="50" spans="1:4" ht="15.75" x14ac:dyDescent="0.25">
      <c r="A50" s="293">
        <v>2002</v>
      </c>
      <c r="B50" s="295">
        <v>10</v>
      </c>
      <c r="C50" s="294">
        <v>1658</v>
      </c>
      <c r="D50" s="259">
        <f t="shared" si="0"/>
        <v>1739</v>
      </c>
    </row>
    <row r="51" spans="1:4" ht="15.75" x14ac:dyDescent="0.25">
      <c r="A51" s="293">
        <v>2003</v>
      </c>
      <c r="B51" s="295">
        <v>11</v>
      </c>
      <c r="C51" s="294">
        <v>2068.1</v>
      </c>
      <c r="D51" s="259">
        <f t="shared" si="0"/>
        <v>2200.1</v>
      </c>
    </row>
    <row r="52" spans="1:4" ht="15.75" x14ac:dyDescent="0.25">
      <c r="A52" s="293">
        <v>2004</v>
      </c>
      <c r="B52" s="295">
        <v>12</v>
      </c>
      <c r="C52" s="294">
        <v>2874.2</v>
      </c>
      <c r="D52" s="259">
        <f t="shared" si="0"/>
        <v>2904.5333333333328</v>
      </c>
    </row>
    <row r="53" spans="1:4" ht="15.75" x14ac:dyDescent="0.25">
      <c r="A53" s="293">
        <v>2005</v>
      </c>
      <c r="B53" s="295">
        <v>13</v>
      </c>
      <c r="C53" s="294">
        <v>3771.3</v>
      </c>
      <c r="D53" s="259">
        <f t="shared" si="0"/>
        <v>3979.0333333333333</v>
      </c>
    </row>
    <row r="54" spans="1:4" ht="15.75" x14ac:dyDescent="0.25">
      <c r="A54" s="293">
        <v>2006</v>
      </c>
      <c r="B54" s="295">
        <v>14</v>
      </c>
      <c r="C54" s="294">
        <v>5291.6</v>
      </c>
      <c r="D54" s="259">
        <f t="shared" si="0"/>
        <v>5278.166666666667</v>
      </c>
    </row>
    <row r="55" spans="1:4" ht="15.75" x14ac:dyDescent="0.25">
      <c r="A55" s="293">
        <v>2007</v>
      </c>
      <c r="B55" s="295">
        <v>15</v>
      </c>
      <c r="C55" s="294">
        <v>6771.6</v>
      </c>
      <c r="D55" s="259">
        <f t="shared" si="0"/>
        <v>6858.9000000000005</v>
      </c>
    </row>
    <row r="56" spans="1:4" ht="15.75" x14ac:dyDescent="0.25">
      <c r="A56" s="293">
        <v>2008</v>
      </c>
      <c r="B56" s="295">
        <v>16</v>
      </c>
      <c r="C56" s="294">
        <v>8513.5</v>
      </c>
      <c r="D56" s="259">
        <f t="shared" si="0"/>
        <v>7483.3</v>
      </c>
    </row>
    <row r="57" spans="1:4" ht="15.75" x14ac:dyDescent="0.25">
      <c r="A57" s="296">
        <v>2009</v>
      </c>
      <c r="B57" s="128">
        <v>17</v>
      </c>
      <c r="C57" s="297">
        <v>7164.8</v>
      </c>
      <c r="D57" s="259">
        <f t="shared" si="0"/>
        <v>8249.4333333333325</v>
      </c>
    </row>
    <row r="58" spans="1:4" ht="15.75" x14ac:dyDescent="0.25">
      <c r="A58" s="293">
        <v>2010</v>
      </c>
      <c r="B58" s="295">
        <v>18</v>
      </c>
      <c r="C58" s="294">
        <v>9070</v>
      </c>
      <c r="D58" s="259">
        <f t="shared" si="0"/>
        <v>9289.7666666666664</v>
      </c>
    </row>
    <row r="59" spans="1:4" ht="15.75" x14ac:dyDescent="0.25">
      <c r="A59" s="293">
        <v>2011</v>
      </c>
      <c r="B59" s="295">
        <v>19</v>
      </c>
      <c r="C59" s="294">
        <v>11634.5</v>
      </c>
      <c r="D59" s="259">
        <f t="shared" si="0"/>
        <v>11030.633333333333</v>
      </c>
    </row>
    <row r="60" spans="1:4" ht="15.75" x14ac:dyDescent="0.25">
      <c r="A60" s="293">
        <v>2012</v>
      </c>
      <c r="B60" s="295">
        <v>20</v>
      </c>
      <c r="C60" s="294">
        <v>12387.4</v>
      </c>
      <c r="D60" s="259">
        <f t="shared" si="0"/>
        <v>12637.566666666666</v>
      </c>
    </row>
    <row r="61" spans="1:4" ht="15.75" x14ac:dyDescent="0.25">
      <c r="A61" s="293">
        <v>2013</v>
      </c>
      <c r="B61" s="295">
        <v>21</v>
      </c>
      <c r="C61" s="294">
        <v>13890.8</v>
      </c>
      <c r="D61" s="259">
        <f t="shared" si="0"/>
        <v>13028.299999999997</v>
      </c>
    </row>
    <row r="62" spans="1:4" ht="15.75" x14ac:dyDescent="0.25">
      <c r="A62" s="296">
        <v>2014</v>
      </c>
      <c r="B62" s="128">
        <v>22</v>
      </c>
      <c r="C62" s="297">
        <v>12806.7</v>
      </c>
      <c r="D62" s="259">
        <f t="shared" si="0"/>
        <v>12402.466666666667</v>
      </c>
    </row>
    <row r="63" spans="1:4" ht="15.75" x14ac:dyDescent="0.25">
      <c r="A63" s="296">
        <v>2015</v>
      </c>
      <c r="B63" s="128">
        <v>23</v>
      </c>
      <c r="C63" s="297">
        <v>10509.9</v>
      </c>
      <c r="D63" s="259">
        <f t="shared" si="0"/>
        <v>10343.799999999999</v>
      </c>
    </row>
    <row r="64" spans="1:4" ht="15.75" x14ac:dyDescent="0.25">
      <c r="A64" s="296">
        <v>2016</v>
      </c>
      <c r="B64" s="128">
        <v>24</v>
      </c>
      <c r="C64" s="297">
        <v>7714.8</v>
      </c>
      <c r="D64" s="259"/>
    </row>
    <row r="66" spans="1:17" x14ac:dyDescent="0.25">
      <c r="A66" s="141" t="s">
        <v>577</v>
      </c>
    </row>
    <row r="68" spans="1:17" x14ac:dyDescent="0.25">
      <c r="A68" t="s">
        <v>584</v>
      </c>
    </row>
    <row r="69" spans="1:17" ht="56.25" customHeight="1" x14ac:dyDescent="0.25">
      <c r="A69" s="423" t="s">
        <v>585</v>
      </c>
      <c r="B69" s="423"/>
      <c r="C69" s="423"/>
      <c r="D69" s="423"/>
      <c r="E69" s="423"/>
      <c r="F69" s="423"/>
      <c r="G69" s="423"/>
      <c r="H69" s="423"/>
      <c r="I69" s="286"/>
      <c r="J69" s="141" t="s">
        <v>588</v>
      </c>
      <c r="K69" s="286"/>
      <c r="L69" s="286"/>
      <c r="M69" s="286"/>
      <c r="N69" s="286"/>
      <c r="O69" s="286"/>
      <c r="P69" s="286"/>
      <c r="Q69" s="286"/>
    </row>
    <row r="86" spans="1:12" x14ac:dyDescent="0.25">
      <c r="B86" t="s">
        <v>586</v>
      </c>
      <c r="D86" s="141">
        <f>26.947*25*25-30.918*25+426.43</f>
        <v>16495.355</v>
      </c>
      <c r="E86" t="s">
        <v>587</v>
      </c>
    </row>
    <row r="87" spans="1:12" x14ac:dyDescent="0.25">
      <c r="I87" t="s">
        <v>586</v>
      </c>
      <c r="K87" s="141">
        <f>165.52*25^1.3038</f>
        <v>11002.329850020922</v>
      </c>
      <c r="L87" t="s">
        <v>593</v>
      </c>
    </row>
    <row r="90" spans="1:12" x14ac:dyDescent="0.25">
      <c r="A90" s="141" t="s">
        <v>590</v>
      </c>
    </row>
    <row r="92" spans="1:12" x14ac:dyDescent="0.25">
      <c r="A92" s="454" t="s">
        <v>422</v>
      </c>
      <c r="B92" s="445" t="s">
        <v>428</v>
      </c>
      <c r="C92" s="454" t="s">
        <v>423</v>
      </c>
      <c r="D92" s="445" t="s">
        <v>591</v>
      </c>
    </row>
    <row r="93" spans="1:12" x14ac:dyDescent="0.25">
      <c r="A93" s="454"/>
      <c r="B93" s="445"/>
      <c r="C93" s="454"/>
      <c r="D93" s="445"/>
      <c r="F93" t="s">
        <v>586</v>
      </c>
      <c r="I93" s="302">
        <f>C120+D121</f>
        <v>8019.9565217391309</v>
      </c>
    </row>
    <row r="94" spans="1:12" x14ac:dyDescent="0.25">
      <c r="A94" s="454"/>
      <c r="B94" s="445"/>
      <c r="C94" s="454"/>
      <c r="D94" s="445"/>
    </row>
    <row r="95" spans="1:12" x14ac:dyDescent="0.25">
      <c r="A95" s="454"/>
      <c r="B95" s="445"/>
      <c r="C95" s="454"/>
      <c r="D95" s="445"/>
    </row>
    <row r="96" spans="1:12" x14ac:dyDescent="0.25">
      <c r="A96" s="454"/>
      <c r="B96" s="445"/>
      <c r="C96" s="454"/>
      <c r="D96" s="445"/>
    </row>
    <row r="97" spans="1:4" ht="15.75" x14ac:dyDescent="0.25">
      <c r="A97" s="293">
        <v>1993</v>
      </c>
      <c r="B97" s="295">
        <v>1</v>
      </c>
      <c r="C97" s="294">
        <v>696.2</v>
      </c>
      <c r="D97" s="234"/>
    </row>
    <row r="98" spans="1:4" ht="15.75" x14ac:dyDescent="0.25">
      <c r="A98" s="293">
        <v>1994</v>
      </c>
      <c r="B98" s="295">
        <v>2</v>
      </c>
      <c r="C98" s="294">
        <v>735.9</v>
      </c>
      <c r="D98" s="234">
        <f>C98-C97</f>
        <v>39.699999999999932</v>
      </c>
    </row>
    <row r="99" spans="1:4" ht="15.75" x14ac:dyDescent="0.25">
      <c r="A99" s="293">
        <v>1995</v>
      </c>
      <c r="B99" s="295">
        <v>3</v>
      </c>
      <c r="C99" s="294">
        <v>1052.0999999999999</v>
      </c>
      <c r="D99" s="234">
        <f t="shared" ref="D99:D120" si="1">C99-C98</f>
        <v>316.19999999999993</v>
      </c>
    </row>
    <row r="100" spans="1:4" ht="15.75" x14ac:dyDescent="0.25">
      <c r="A100" s="293">
        <v>1996</v>
      </c>
      <c r="B100" s="295">
        <v>4</v>
      </c>
      <c r="C100" s="294">
        <v>1350.4</v>
      </c>
      <c r="D100" s="234">
        <f t="shared" si="1"/>
        <v>298.30000000000018</v>
      </c>
    </row>
    <row r="101" spans="1:4" ht="15.75" x14ac:dyDescent="0.25">
      <c r="A101" s="293">
        <v>1997</v>
      </c>
      <c r="B101" s="295">
        <v>5</v>
      </c>
      <c r="C101" s="294">
        <v>1445.5</v>
      </c>
      <c r="D101" s="234">
        <f t="shared" si="1"/>
        <v>95.099999999999909</v>
      </c>
    </row>
    <row r="102" spans="1:4" ht="15.75" x14ac:dyDescent="0.25">
      <c r="A102" s="293">
        <v>1998</v>
      </c>
      <c r="B102" s="295">
        <v>6</v>
      </c>
      <c r="C102" s="294">
        <v>1468.7</v>
      </c>
      <c r="D102" s="234">
        <f t="shared" si="1"/>
        <v>23.200000000000045</v>
      </c>
    </row>
    <row r="103" spans="1:4" ht="15.75" x14ac:dyDescent="0.25">
      <c r="A103" s="296">
        <v>1999</v>
      </c>
      <c r="B103" s="128">
        <v>7</v>
      </c>
      <c r="C103" s="297">
        <v>1130.0999999999999</v>
      </c>
      <c r="D103" s="234">
        <f t="shared" si="1"/>
        <v>-338.60000000000014</v>
      </c>
    </row>
    <row r="104" spans="1:4" ht="15.75" x14ac:dyDescent="0.25">
      <c r="A104" s="293">
        <v>2000</v>
      </c>
      <c r="B104" s="295">
        <v>8</v>
      </c>
      <c r="C104" s="294">
        <v>1229</v>
      </c>
      <c r="D104" s="234">
        <f t="shared" si="1"/>
        <v>98.900000000000091</v>
      </c>
    </row>
    <row r="105" spans="1:4" ht="15.75" x14ac:dyDescent="0.25">
      <c r="A105" s="293">
        <v>2001</v>
      </c>
      <c r="B105" s="295">
        <v>9</v>
      </c>
      <c r="C105" s="294">
        <v>1490.9</v>
      </c>
      <c r="D105" s="234">
        <f t="shared" si="1"/>
        <v>261.90000000000009</v>
      </c>
    </row>
    <row r="106" spans="1:4" ht="15.75" x14ac:dyDescent="0.25">
      <c r="A106" s="293">
        <v>2002</v>
      </c>
      <c r="B106" s="295">
        <v>10</v>
      </c>
      <c r="C106" s="294">
        <v>1658</v>
      </c>
      <c r="D106" s="234">
        <f t="shared" si="1"/>
        <v>167.09999999999991</v>
      </c>
    </row>
    <row r="107" spans="1:4" ht="15.75" x14ac:dyDescent="0.25">
      <c r="A107" s="293">
        <v>2003</v>
      </c>
      <c r="B107" s="295">
        <v>11</v>
      </c>
      <c r="C107" s="294">
        <v>2068.1</v>
      </c>
      <c r="D107" s="234">
        <f t="shared" si="1"/>
        <v>410.09999999999991</v>
      </c>
    </row>
    <row r="108" spans="1:4" ht="15.75" x14ac:dyDescent="0.25">
      <c r="A108" s="293">
        <v>2004</v>
      </c>
      <c r="B108" s="295">
        <v>12</v>
      </c>
      <c r="C108" s="294">
        <v>2874.2</v>
      </c>
      <c r="D108" s="234">
        <f t="shared" si="1"/>
        <v>806.09999999999991</v>
      </c>
    </row>
    <row r="109" spans="1:4" ht="15.75" x14ac:dyDescent="0.25">
      <c r="A109" s="293">
        <v>2005</v>
      </c>
      <c r="B109" s="295">
        <v>13</v>
      </c>
      <c r="C109" s="294">
        <v>3771.3</v>
      </c>
      <c r="D109" s="234">
        <f t="shared" si="1"/>
        <v>897.10000000000036</v>
      </c>
    </row>
    <row r="110" spans="1:4" ht="15.75" x14ac:dyDescent="0.25">
      <c r="A110" s="293">
        <v>2006</v>
      </c>
      <c r="B110" s="295">
        <v>14</v>
      </c>
      <c r="C110" s="294">
        <v>5291.6</v>
      </c>
      <c r="D110" s="234">
        <f t="shared" si="1"/>
        <v>1520.3000000000002</v>
      </c>
    </row>
    <row r="111" spans="1:4" ht="15.75" x14ac:dyDescent="0.25">
      <c r="A111" s="293">
        <v>2007</v>
      </c>
      <c r="B111" s="295">
        <v>15</v>
      </c>
      <c r="C111" s="294">
        <v>6771.6</v>
      </c>
      <c r="D111" s="234">
        <f t="shared" si="1"/>
        <v>1480</v>
      </c>
    </row>
    <row r="112" spans="1:4" ht="15.75" x14ac:dyDescent="0.25">
      <c r="A112" s="293">
        <v>2008</v>
      </c>
      <c r="B112" s="295">
        <v>16</v>
      </c>
      <c r="C112" s="294">
        <v>8513.5</v>
      </c>
      <c r="D112" s="234">
        <f t="shared" si="1"/>
        <v>1741.8999999999996</v>
      </c>
    </row>
    <row r="113" spans="1:18" ht="15.75" x14ac:dyDescent="0.25">
      <c r="A113" s="296">
        <v>2009</v>
      </c>
      <c r="B113" s="128">
        <v>17</v>
      </c>
      <c r="C113" s="297">
        <v>7164.8</v>
      </c>
      <c r="D113" s="234">
        <f t="shared" si="1"/>
        <v>-1348.6999999999998</v>
      </c>
    </row>
    <row r="114" spans="1:18" ht="15.75" x14ac:dyDescent="0.25">
      <c r="A114" s="293">
        <v>2010</v>
      </c>
      <c r="B114" s="295">
        <v>18</v>
      </c>
      <c r="C114" s="294">
        <v>9070</v>
      </c>
      <c r="D114" s="234">
        <f t="shared" si="1"/>
        <v>1905.1999999999998</v>
      </c>
    </row>
    <row r="115" spans="1:18" ht="15.75" x14ac:dyDescent="0.25">
      <c r="A115" s="293">
        <v>2011</v>
      </c>
      <c r="B115" s="295">
        <v>19</v>
      </c>
      <c r="C115" s="294">
        <v>11634.5</v>
      </c>
      <c r="D115" s="234">
        <f t="shared" si="1"/>
        <v>2564.5</v>
      </c>
    </row>
    <row r="116" spans="1:18" ht="15.75" x14ac:dyDescent="0.25">
      <c r="A116" s="293">
        <v>2012</v>
      </c>
      <c r="B116" s="295">
        <v>20</v>
      </c>
      <c r="C116" s="294">
        <v>12387.4</v>
      </c>
      <c r="D116" s="234">
        <f t="shared" si="1"/>
        <v>752.89999999999964</v>
      </c>
    </row>
    <row r="117" spans="1:18" ht="15.75" x14ac:dyDescent="0.25">
      <c r="A117" s="293">
        <v>2013</v>
      </c>
      <c r="B117" s="295">
        <v>21</v>
      </c>
      <c r="C117" s="294">
        <v>13890.8</v>
      </c>
      <c r="D117" s="234">
        <f t="shared" si="1"/>
        <v>1503.3999999999996</v>
      </c>
    </row>
    <row r="118" spans="1:18" ht="15.75" x14ac:dyDescent="0.25">
      <c r="A118" s="296">
        <v>2014</v>
      </c>
      <c r="B118" s="128">
        <v>22</v>
      </c>
      <c r="C118" s="297">
        <v>12806.7</v>
      </c>
      <c r="D118" s="234">
        <f t="shared" si="1"/>
        <v>-1084.0999999999985</v>
      </c>
    </row>
    <row r="119" spans="1:18" ht="15.75" x14ac:dyDescent="0.25">
      <c r="A119" s="296">
        <v>2015</v>
      </c>
      <c r="B119" s="128">
        <v>23</v>
      </c>
      <c r="C119" s="297">
        <v>10509.9</v>
      </c>
      <c r="D119" s="234">
        <f t="shared" si="1"/>
        <v>-2296.8000000000011</v>
      </c>
    </row>
    <row r="120" spans="1:18" ht="15.75" x14ac:dyDescent="0.25">
      <c r="A120" s="296">
        <v>2016</v>
      </c>
      <c r="B120" s="128">
        <v>24</v>
      </c>
      <c r="C120" s="297">
        <v>7714.8</v>
      </c>
      <c r="D120" s="234">
        <f t="shared" si="1"/>
        <v>-2795.0999999999995</v>
      </c>
    </row>
    <row r="121" spans="1:18" x14ac:dyDescent="0.25">
      <c r="A121" t="s">
        <v>592</v>
      </c>
      <c r="D121" s="301">
        <f>AVERAGE(D98:D120)</f>
        <v>305.15652173913043</v>
      </c>
    </row>
    <row r="123" spans="1:18" x14ac:dyDescent="0.25">
      <c r="A123" s="141" t="s">
        <v>594</v>
      </c>
    </row>
    <row r="125" spans="1:18" x14ac:dyDescent="0.25">
      <c r="A125" s="454" t="s">
        <v>422</v>
      </c>
      <c r="B125" s="445" t="s">
        <v>428</v>
      </c>
      <c r="C125" s="454" t="s">
        <v>423</v>
      </c>
      <c r="D125" s="448" t="s">
        <v>595</v>
      </c>
      <c r="E125" s="448"/>
      <c r="F125" s="448"/>
      <c r="G125" s="448"/>
      <c r="H125" s="448"/>
      <c r="I125" s="448"/>
      <c r="J125" s="448"/>
      <c r="K125" s="448"/>
      <c r="L125" s="448"/>
      <c r="M125" s="448"/>
      <c r="N125" s="448"/>
      <c r="O125" s="448"/>
      <c r="P125" s="448"/>
      <c r="Q125" s="448"/>
      <c r="R125" s="448"/>
    </row>
    <row r="126" spans="1:18" s="287" customFormat="1" ht="30" x14ac:dyDescent="0.25">
      <c r="A126" s="454"/>
      <c r="B126" s="445"/>
      <c r="C126" s="454"/>
      <c r="D126" s="284">
        <v>0.2</v>
      </c>
      <c r="E126" s="284" t="s">
        <v>596</v>
      </c>
      <c r="F126" s="284" t="s">
        <v>597</v>
      </c>
      <c r="G126" s="284">
        <v>0.3</v>
      </c>
      <c r="H126" s="284" t="s">
        <v>596</v>
      </c>
      <c r="I126" s="284" t="s">
        <v>597</v>
      </c>
      <c r="J126" s="284">
        <v>0.5</v>
      </c>
      <c r="K126" s="284" t="s">
        <v>596</v>
      </c>
      <c r="L126" s="284" t="s">
        <v>597</v>
      </c>
      <c r="M126" s="284">
        <v>0.7</v>
      </c>
      <c r="N126" s="284" t="s">
        <v>596</v>
      </c>
      <c r="O126" s="284" t="s">
        <v>597</v>
      </c>
      <c r="P126" s="284">
        <v>0.8</v>
      </c>
      <c r="Q126" s="284" t="s">
        <v>596</v>
      </c>
      <c r="R126" s="284" t="s">
        <v>597</v>
      </c>
    </row>
    <row r="127" spans="1:18" x14ac:dyDescent="0.25">
      <c r="A127" s="454"/>
      <c r="B127" s="445"/>
      <c r="C127" s="454"/>
      <c r="D127" s="285"/>
      <c r="E127" s="285"/>
      <c r="F127" s="285"/>
      <c r="G127" s="285"/>
      <c r="H127" s="285"/>
      <c r="I127" s="285"/>
      <c r="J127" s="285"/>
      <c r="K127" s="285"/>
      <c r="L127" s="285"/>
      <c r="M127" s="285"/>
      <c r="N127" s="285"/>
      <c r="O127" s="285"/>
      <c r="P127" s="285"/>
      <c r="Q127" s="285"/>
      <c r="R127" s="285"/>
    </row>
    <row r="128" spans="1:18" x14ac:dyDescent="0.25">
      <c r="A128" s="454"/>
      <c r="B128" s="445"/>
      <c r="C128" s="454"/>
      <c r="D128" s="285"/>
      <c r="E128" s="285"/>
      <c r="F128" s="285"/>
      <c r="G128" s="285"/>
      <c r="H128" s="285"/>
      <c r="I128" s="285"/>
      <c r="J128" s="285"/>
      <c r="K128" s="285"/>
      <c r="L128" s="285"/>
      <c r="M128" s="285"/>
      <c r="N128" s="285"/>
      <c r="O128" s="285"/>
      <c r="P128" s="285"/>
      <c r="Q128" s="285"/>
      <c r="R128" s="285"/>
    </row>
    <row r="129" spans="1:18" x14ac:dyDescent="0.25">
      <c r="A129" s="454"/>
      <c r="B129" s="445"/>
      <c r="C129" s="454"/>
      <c r="D129" s="285"/>
      <c r="E129" s="285"/>
      <c r="F129" s="285"/>
      <c r="G129" s="285"/>
      <c r="H129" s="285"/>
      <c r="I129" s="285"/>
      <c r="J129" s="285"/>
      <c r="K129" s="285"/>
      <c r="L129" s="285"/>
      <c r="M129" s="285"/>
      <c r="N129" s="285"/>
      <c r="O129" s="285"/>
      <c r="P129" s="285"/>
      <c r="Q129" s="285"/>
      <c r="R129" s="285"/>
    </row>
    <row r="130" spans="1:18" ht="15.75" x14ac:dyDescent="0.25">
      <c r="A130" s="293">
        <v>1993</v>
      </c>
      <c r="B130" s="295">
        <v>1</v>
      </c>
      <c r="C130" s="294">
        <v>696.2</v>
      </c>
      <c r="D130" s="259">
        <f>C130</f>
        <v>696.2</v>
      </c>
      <c r="E130" s="259">
        <f>D130-C130</f>
        <v>0</v>
      </c>
      <c r="F130" s="259">
        <f>ABS(E130)</f>
        <v>0</v>
      </c>
      <c r="G130" s="259">
        <f>C130</f>
        <v>696.2</v>
      </c>
      <c r="H130" s="259">
        <f>G130-C130</f>
        <v>0</v>
      </c>
      <c r="I130" s="259">
        <f>ABS(H130)</f>
        <v>0</v>
      </c>
      <c r="J130" s="259">
        <f>C130</f>
        <v>696.2</v>
      </c>
      <c r="K130" s="259">
        <f>J130-C130</f>
        <v>0</v>
      </c>
      <c r="L130" s="259">
        <f>ABS(K130)</f>
        <v>0</v>
      </c>
      <c r="M130" s="259">
        <f>C130</f>
        <v>696.2</v>
      </c>
      <c r="N130" s="259">
        <f>M130-C130</f>
        <v>0</v>
      </c>
      <c r="O130" s="259">
        <f>ABS(N130)</f>
        <v>0</v>
      </c>
      <c r="P130" s="259">
        <f>C130</f>
        <v>696.2</v>
      </c>
      <c r="Q130" s="259">
        <f>P130-C130</f>
        <v>0</v>
      </c>
      <c r="R130" s="259">
        <f>ABS(Q130)</f>
        <v>0</v>
      </c>
    </row>
    <row r="131" spans="1:18" ht="15.75" x14ac:dyDescent="0.25">
      <c r="A131" s="293">
        <v>1994</v>
      </c>
      <c r="B131" s="295">
        <v>2</v>
      </c>
      <c r="C131" s="294">
        <v>735.9</v>
      </c>
      <c r="D131" s="259">
        <f>C130</f>
        <v>696.2</v>
      </c>
      <c r="E131" s="259">
        <f t="shared" ref="E131:E153" si="2">D131-C131</f>
        <v>-39.699999999999932</v>
      </c>
      <c r="F131" s="259">
        <f t="shared" ref="F131:F153" si="3">ABS(E131)</f>
        <v>39.699999999999932</v>
      </c>
      <c r="G131" s="259">
        <f>C130</f>
        <v>696.2</v>
      </c>
      <c r="H131" s="259">
        <f t="shared" ref="H131:H153" si="4">G131-C131</f>
        <v>-39.699999999999932</v>
      </c>
      <c r="I131" s="259">
        <f t="shared" ref="I131:I153" si="5">ABS(H131)</f>
        <v>39.699999999999932</v>
      </c>
      <c r="J131" s="259">
        <f>C130</f>
        <v>696.2</v>
      </c>
      <c r="K131" s="259">
        <f t="shared" ref="K131:K153" si="6">J131-C131</f>
        <v>-39.699999999999932</v>
      </c>
      <c r="L131" s="259">
        <f t="shared" ref="L131:L153" si="7">ABS(K131)</f>
        <v>39.699999999999932</v>
      </c>
      <c r="M131" s="259">
        <f>C130</f>
        <v>696.2</v>
      </c>
      <c r="N131" s="259">
        <f t="shared" ref="N131:N153" si="8">M131-C131</f>
        <v>-39.699999999999932</v>
      </c>
      <c r="O131" s="259">
        <f t="shared" ref="O131:O153" si="9">ABS(N131)</f>
        <v>39.699999999999932</v>
      </c>
      <c r="P131" s="259">
        <f>C130</f>
        <v>696.2</v>
      </c>
      <c r="Q131" s="259">
        <f t="shared" ref="Q131:Q153" si="10">P131-C131</f>
        <v>-39.699999999999932</v>
      </c>
      <c r="R131" s="259">
        <f t="shared" ref="R131:R153" si="11">ABS(Q131)</f>
        <v>39.699999999999932</v>
      </c>
    </row>
    <row r="132" spans="1:18" ht="15.75" x14ac:dyDescent="0.25">
      <c r="A132" s="293">
        <v>1995</v>
      </c>
      <c r="B132" s="295">
        <v>3</v>
      </c>
      <c r="C132" s="294">
        <v>1052.0999999999999</v>
      </c>
      <c r="D132" s="259">
        <f>(1-$D$126)*C131+$D$126*D131</f>
        <v>727.96</v>
      </c>
      <c r="E132" s="259">
        <f t="shared" si="2"/>
        <v>-324.13999999999987</v>
      </c>
      <c r="F132" s="259">
        <f t="shared" si="3"/>
        <v>324.13999999999987</v>
      </c>
      <c r="G132" s="259">
        <f>(1-$G$126)*C131+$G$126*G131</f>
        <v>723.99</v>
      </c>
      <c r="H132" s="259">
        <f t="shared" si="4"/>
        <v>-328.1099999999999</v>
      </c>
      <c r="I132" s="259">
        <f t="shared" si="5"/>
        <v>328.1099999999999</v>
      </c>
      <c r="J132" s="259">
        <f>(1-$J$126)*C131+$J$126*J131</f>
        <v>716.05</v>
      </c>
      <c r="K132" s="259">
        <f t="shared" si="6"/>
        <v>-336.04999999999995</v>
      </c>
      <c r="L132" s="259">
        <f t="shared" si="7"/>
        <v>336.04999999999995</v>
      </c>
      <c r="M132" s="259">
        <f>(1-$M$126)*C131+$M$126*M131</f>
        <v>708.11</v>
      </c>
      <c r="N132" s="259">
        <f t="shared" si="8"/>
        <v>-343.9899999999999</v>
      </c>
      <c r="O132" s="259">
        <f t="shared" si="9"/>
        <v>343.9899999999999</v>
      </c>
      <c r="P132" s="259">
        <f>(1-$P$126)*C131+$P$126*P131</f>
        <v>704.14</v>
      </c>
      <c r="Q132" s="259">
        <f t="shared" si="10"/>
        <v>-347.95999999999992</v>
      </c>
      <c r="R132" s="259">
        <f t="shared" si="11"/>
        <v>347.95999999999992</v>
      </c>
    </row>
    <row r="133" spans="1:18" ht="15.75" x14ac:dyDescent="0.25">
      <c r="A133" s="293">
        <v>1996</v>
      </c>
      <c r="B133" s="295">
        <v>4</v>
      </c>
      <c r="C133" s="294">
        <v>1350.4</v>
      </c>
      <c r="D133" s="259">
        <f t="shared" ref="D133:D154" si="12">(1-$D$126)*C132+$D$126*D132</f>
        <v>987.27199999999993</v>
      </c>
      <c r="E133" s="259">
        <f t="shared" si="2"/>
        <v>-363.12800000000016</v>
      </c>
      <c r="F133" s="259">
        <f t="shared" si="3"/>
        <v>363.12800000000016</v>
      </c>
      <c r="G133" s="259">
        <f t="shared" ref="G133:G154" si="13">(1-$G$126)*C132+$G$126*G132</f>
        <v>953.66699999999992</v>
      </c>
      <c r="H133" s="259">
        <f t="shared" si="4"/>
        <v>-396.73300000000017</v>
      </c>
      <c r="I133" s="259">
        <f t="shared" si="5"/>
        <v>396.73300000000017</v>
      </c>
      <c r="J133" s="259">
        <f t="shared" ref="J133:J154" si="14">(1-$J$126)*C132+$J$126*J132</f>
        <v>884.07499999999993</v>
      </c>
      <c r="K133" s="259">
        <f t="shared" si="6"/>
        <v>-466.32500000000016</v>
      </c>
      <c r="L133" s="259">
        <f t="shared" si="7"/>
        <v>466.32500000000016</v>
      </c>
      <c r="M133" s="259">
        <f t="shared" ref="M133:M154" si="15">(1-$M$126)*C132+$M$126*M132</f>
        <v>811.30700000000002</v>
      </c>
      <c r="N133" s="259">
        <f t="shared" si="8"/>
        <v>-539.09300000000007</v>
      </c>
      <c r="O133" s="259">
        <f t="shared" si="9"/>
        <v>539.09300000000007</v>
      </c>
      <c r="P133" s="259">
        <f t="shared" ref="P133:P153" si="16">(1-$P$126)*C132+$P$126*P132</f>
        <v>773.73199999999997</v>
      </c>
      <c r="Q133" s="259">
        <f t="shared" si="10"/>
        <v>-576.66800000000012</v>
      </c>
      <c r="R133" s="259">
        <f t="shared" si="11"/>
        <v>576.66800000000012</v>
      </c>
    </row>
    <row r="134" spans="1:18" ht="15.75" x14ac:dyDescent="0.25">
      <c r="A134" s="293">
        <v>1997</v>
      </c>
      <c r="B134" s="295">
        <v>5</v>
      </c>
      <c r="C134" s="294">
        <v>1445.5</v>
      </c>
      <c r="D134" s="259">
        <f t="shared" si="12"/>
        <v>1277.7744000000002</v>
      </c>
      <c r="E134" s="259">
        <f t="shared" si="2"/>
        <v>-167.72559999999976</v>
      </c>
      <c r="F134" s="259">
        <f t="shared" si="3"/>
        <v>167.72559999999976</v>
      </c>
      <c r="G134" s="259">
        <f t="shared" si="13"/>
        <v>1231.3800999999999</v>
      </c>
      <c r="H134" s="259">
        <f t="shared" si="4"/>
        <v>-214.11990000000014</v>
      </c>
      <c r="I134" s="259">
        <f t="shared" si="5"/>
        <v>214.11990000000014</v>
      </c>
      <c r="J134" s="259">
        <f t="shared" si="14"/>
        <v>1117.2375</v>
      </c>
      <c r="K134" s="259">
        <f t="shared" si="6"/>
        <v>-328.26250000000005</v>
      </c>
      <c r="L134" s="259">
        <f t="shared" si="7"/>
        <v>328.26250000000005</v>
      </c>
      <c r="M134" s="259">
        <f t="shared" si="15"/>
        <v>973.03490000000011</v>
      </c>
      <c r="N134" s="259">
        <f t="shared" si="8"/>
        <v>-472.46509999999989</v>
      </c>
      <c r="O134" s="259">
        <f t="shared" si="9"/>
        <v>472.46509999999989</v>
      </c>
      <c r="P134" s="259">
        <f t="shared" si="16"/>
        <v>889.0655999999999</v>
      </c>
      <c r="Q134" s="259">
        <f t="shared" si="10"/>
        <v>-556.4344000000001</v>
      </c>
      <c r="R134" s="259">
        <f t="shared" si="11"/>
        <v>556.4344000000001</v>
      </c>
    </row>
    <row r="135" spans="1:18" ht="15.75" x14ac:dyDescent="0.25">
      <c r="A135" s="293">
        <v>1998</v>
      </c>
      <c r="B135" s="295">
        <v>6</v>
      </c>
      <c r="C135" s="294">
        <v>1468.7</v>
      </c>
      <c r="D135" s="259">
        <f t="shared" si="12"/>
        <v>1411.9548800000002</v>
      </c>
      <c r="E135" s="259">
        <f t="shared" si="2"/>
        <v>-56.745119999999815</v>
      </c>
      <c r="F135" s="259">
        <f t="shared" si="3"/>
        <v>56.745119999999815</v>
      </c>
      <c r="G135" s="259">
        <f t="shared" si="13"/>
        <v>1381.2640299999998</v>
      </c>
      <c r="H135" s="259">
        <f t="shared" si="4"/>
        <v>-87.435970000000225</v>
      </c>
      <c r="I135" s="259">
        <f t="shared" si="5"/>
        <v>87.435970000000225</v>
      </c>
      <c r="J135" s="259">
        <f t="shared" si="14"/>
        <v>1281.3687500000001</v>
      </c>
      <c r="K135" s="259">
        <f t="shared" si="6"/>
        <v>-187.33124999999995</v>
      </c>
      <c r="L135" s="259">
        <f t="shared" si="7"/>
        <v>187.33124999999995</v>
      </c>
      <c r="M135" s="259">
        <f t="shared" si="15"/>
        <v>1114.7744300000002</v>
      </c>
      <c r="N135" s="259">
        <f t="shared" si="8"/>
        <v>-353.92556999999988</v>
      </c>
      <c r="O135" s="259">
        <f t="shared" si="9"/>
        <v>353.92556999999988</v>
      </c>
      <c r="P135" s="259">
        <f t="shared" si="16"/>
        <v>1000.3524799999999</v>
      </c>
      <c r="Q135" s="259">
        <f t="shared" si="10"/>
        <v>-468.34752000000015</v>
      </c>
      <c r="R135" s="259">
        <f t="shared" si="11"/>
        <v>468.34752000000015</v>
      </c>
    </row>
    <row r="136" spans="1:18" ht="15.75" x14ac:dyDescent="0.25">
      <c r="A136" s="296">
        <v>1999</v>
      </c>
      <c r="B136" s="128">
        <v>7</v>
      </c>
      <c r="C136" s="297">
        <v>1130.0999999999999</v>
      </c>
      <c r="D136" s="259">
        <f t="shared" si="12"/>
        <v>1457.3509760000002</v>
      </c>
      <c r="E136" s="259">
        <f t="shared" si="2"/>
        <v>327.25097600000026</v>
      </c>
      <c r="F136" s="259">
        <f t="shared" si="3"/>
        <v>327.25097600000026</v>
      </c>
      <c r="G136" s="259">
        <f t="shared" si="13"/>
        <v>1442.4692089999999</v>
      </c>
      <c r="H136" s="259">
        <f t="shared" si="4"/>
        <v>312.36920899999996</v>
      </c>
      <c r="I136" s="259">
        <f t="shared" si="5"/>
        <v>312.36920899999996</v>
      </c>
      <c r="J136" s="259">
        <f t="shared" si="14"/>
        <v>1375.0343750000002</v>
      </c>
      <c r="K136" s="259">
        <f t="shared" si="6"/>
        <v>244.93437500000027</v>
      </c>
      <c r="L136" s="259">
        <f t="shared" si="7"/>
        <v>244.93437500000027</v>
      </c>
      <c r="M136" s="259">
        <f t="shared" si="15"/>
        <v>1220.9521010000001</v>
      </c>
      <c r="N136" s="259">
        <f t="shared" si="8"/>
        <v>90.852101000000175</v>
      </c>
      <c r="O136" s="259">
        <f t="shared" si="9"/>
        <v>90.852101000000175</v>
      </c>
      <c r="P136" s="259">
        <f t="shared" si="16"/>
        <v>1094.021984</v>
      </c>
      <c r="Q136" s="259">
        <f t="shared" si="10"/>
        <v>-36.078015999999934</v>
      </c>
      <c r="R136" s="259">
        <f t="shared" si="11"/>
        <v>36.078015999999934</v>
      </c>
    </row>
    <row r="137" spans="1:18" ht="15.75" x14ac:dyDescent="0.25">
      <c r="A137" s="293">
        <v>2000</v>
      </c>
      <c r="B137" s="295">
        <v>8</v>
      </c>
      <c r="C137" s="294">
        <v>1229</v>
      </c>
      <c r="D137" s="259">
        <f t="shared" si="12"/>
        <v>1195.5501952</v>
      </c>
      <c r="E137" s="259">
        <f t="shared" si="2"/>
        <v>-33.449804800000038</v>
      </c>
      <c r="F137" s="259">
        <f t="shared" si="3"/>
        <v>33.449804800000038</v>
      </c>
      <c r="G137" s="259">
        <f t="shared" si="13"/>
        <v>1223.8107626999999</v>
      </c>
      <c r="H137" s="259">
        <f t="shared" si="4"/>
        <v>-5.1892373000000589</v>
      </c>
      <c r="I137" s="259">
        <f t="shared" si="5"/>
        <v>5.1892373000000589</v>
      </c>
      <c r="J137" s="259">
        <f t="shared" si="14"/>
        <v>1252.5671875</v>
      </c>
      <c r="K137" s="259">
        <f t="shared" si="6"/>
        <v>23.567187500000045</v>
      </c>
      <c r="L137" s="259">
        <f t="shared" si="7"/>
        <v>23.567187500000045</v>
      </c>
      <c r="M137" s="259">
        <f t="shared" si="15"/>
        <v>1193.6964707</v>
      </c>
      <c r="N137" s="259">
        <f t="shared" si="8"/>
        <v>-35.303529300000037</v>
      </c>
      <c r="O137" s="259">
        <f t="shared" si="9"/>
        <v>35.303529300000037</v>
      </c>
      <c r="P137" s="259">
        <f t="shared" si="16"/>
        <v>1101.2375872</v>
      </c>
      <c r="Q137" s="259">
        <f t="shared" si="10"/>
        <v>-127.76241279999999</v>
      </c>
      <c r="R137" s="259">
        <f t="shared" si="11"/>
        <v>127.76241279999999</v>
      </c>
    </row>
    <row r="138" spans="1:18" ht="15.75" x14ac:dyDescent="0.25">
      <c r="A138" s="293">
        <v>2001</v>
      </c>
      <c r="B138" s="295">
        <v>9</v>
      </c>
      <c r="C138" s="294">
        <v>1490.9</v>
      </c>
      <c r="D138" s="259">
        <f t="shared" si="12"/>
        <v>1222.31003904</v>
      </c>
      <c r="E138" s="259">
        <f t="shared" si="2"/>
        <v>-268.5899609600001</v>
      </c>
      <c r="F138" s="259">
        <f t="shared" si="3"/>
        <v>268.5899609600001</v>
      </c>
      <c r="G138" s="259">
        <f t="shared" si="13"/>
        <v>1227.4432288099999</v>
      </c>
      <c r="H138" s="259">
        <f t="shared" si="4"/>
        <v>-263.45677119000015</v>
      </c>
      <c r="I138" s="259">
        <f t="shared" si="5"/>
        <v>263.45677119000015</v>
      </c>
      <c r="J138" s="259">
        <f t="shared" si="14"/>
        <v>1240.7835937499999</v>
      </c>
      <c r="K138" s="259">
        <f t="shared" si="6"/>
        <v>-250.11640625000018</v>
      </c>
      <c r="L138" s="259">
        <f t="shared" si="7"/>
        <v>250.11640625000018</v>
      </c>
      <c r="M138" s="259">
        <f t="shared" si="15"/>
        <v>1204.28752949</v>
      </c>
      <c r="N138" s="259">
        <f t="shared" si="8"/>
        <v>-286.61247051000009</v>
      </c>
      <c r="O138" s="259">
        <f t="shared" si="9"/>
        <v>286.61247051000009</v>
      </c>
      <c r="P138" s="259">
        <f t="shared" si="16"/>
        <v>1126.7900697600001</v>
      </c>
      <c r="Q138" s="259">
        <f t="shared" si="10"/>
        <v>-364.10993024000004</v>
      </c>
      <c r="R138" s="259">
        <f t="shared" si="11"/>
        <v>364.10993024000004</v>
      </c>
    </row>
    <row r="139" spans="1:18" ht="15.75" x14ac:dyDescent="0.25">
      <c r="A139" s="293">
        <v>2002</v>
      </c>
      <c r="B139" s="295">
        <v>10</v>
      </c>
      <c r="C139" s="294">
        <v>1658</v>
      </c>
      <c r="D139" s="259">
        <f t="shared" si="12"/>
        <v>1437.182007808</v>
      </c>
      <c r="E139" s="259">
        <f t="shared" si="2"/>
        <v>-220.81799219200002</v>
      </c>
      <c r="F139" s="259">
        <f t="shared" si="3"/>
        <v>220.81799219200002</v>
      </c>
      <c r="G139" s="259">
        <f t="shared" si="13"/>
        <v>1411.8629686430002</v>
      </c>
      <c r="H139" s="259">
        <f t="shared" si="4"/>
        <v>-246.13703135699984</v>
      </c>
      <c r="I139" s="259">
        <f t="shared" si="5"/>
        <v>246.13703135699984</v>
      </c>
      <c r="J139" s="259">
        <f t="shared" si="14"/>
        <v>1365.841796875</v>
      </c>
      <c r="K139" s="259">
        <f t="shared" si="6"/>
        <v>-292.158203125</v>
      </c>
      <c r="L139" s="259">
        <f t="shared" si="7"/>
        <v>292.158203125</v>
      </c>
      <c r="M139" s="259">
        <f t="shared" si="15"/>
        <v>1290.2712706430002</v>
      </c>
      <c r="N139" s="259">
        <f t="shared" si="8"/>
        <v>-367.72872935699979</v>
      </c>
      <c r="O139" s="259">
        <f t="shared" si="9"/>
        <v>367.72872935699979</v>
      </c>
      <c r="P139" s="259">
        <f t="shared" si="16"/>
        <v>1199.6120558080002</v>
      </c>
      <c r="Q139" s="259">
        <f t="shared" si="10"/>
        <v>-458.38794419199985</v>
      </c>
      <c r="R139" s="259">
        <f t="shared" si="11"/>
        <v>458.38794419199985</v>
      </c>
    </row>
    <row r="140" spans="1:18" ht="15.75" x14ac:dyDescent="0.25">
      <c r="A140" s="293">
        <v>2003</v>
      </c>
      <c r="B140" s="295">
        <v>11</v>
      </c>
      <c r="C140" s="294">
        <v>2068.1</v>
      </c>
      <c r="D140" s="259">
        <f t="shared" si="12"/>
        <v>1613.8364015616</v>
      </c>
      <c r="E140" s="259">
        <f t="shared" si="2"/>
        <v>-454.26359843839987</v>
      </c>
      <c r="F140" s="259">
        <f t="shared" si="3"/>
        <v>454.26359843839987</v>
      </c>
      <c r="G140" s="259">
        <f t="shared" si="13"/>
        <v>1584.1588905929</v>
      </c>
      <c r="H140" s="259">
        <f t="shared" si="4"/>
        <v>-483.94110940709993</v>
      </c>
      <c r="I140" s="259">
        <f t="shared" si="5"/>
        <v>483.94110940709993</v>
      </c>
      <c r="J140" s="259">
        <f t="shared" si="14"/>
        <v>1511.9208984375</v>
      </c>
      <c r="K140" s="259">
        <f t="shared" si="6"/>
        <v>-556.17910156249991</v>
      </c>
      <c r="L140" s="259">
        <f t="shared" si="7"/>
        <v>556.17910156249991</v>
      </c>
      <c r="M140" s="259">
        <f t="shared" si="15"/>
        <v>1400.5898894501001</v>
      </c>
      <c r="N140" s="259">
        <f t="shared" si="8"/>
        <v>-667.51011054989976</v>
      </c>
      <c r="O140" s="259">
        <f t="shared" si="9"/>
        <v>667.51011054989976</v>
      </c>
      <c r="P140" s="259">
        <f t="shared" si="16"/>
        <v>1291.2896446464001</v>
      </c>
      <c r="Q140" s="259">
        <f t="shared" si="10"/>
        <v>-776.81035535359979</v>
      </c>
      <c r="R140" s="259">
        <f t="shared" si="11"/>
        <v>776.81035535359979</v>
      </c>
    </row>
    <row r="141" spans="1:18" ht="15.75" x14ac:dyDescent="0.25">
      <c r="A141" s="293">
        <v>2004</v>
      </c>
      <c r="B141" s="295">
        <v>12</v>
      </c>
      <c r="C141" s="294">
        <v>2874.2</v>
      </c>
      <c r="D141" s="259">
        <f t="shared" si="12"/>
        <v>1977.2472803123201</v>
      </c>
      <c r="E141" s="259">
        <f t="shared" si="2"/>
        <v>-896.95271968767975</v>
      </c>
      <c r="F141" s="259">
        <f t="shared" si="3"/>
        <v>896.95271968767975</v>
      </c>
      <c r="G141" s="259">
        <f t="shared" si="13"/>
        <v>1922.9176671778698</v>
      </c>
      <c r="H141" s="259">
        <f t="shared" si="4"/>
        <v>-951.28233282213</v>
      </c>
      <c r="I141" s="259">
        <f t="shared" si="5"/>
        <v>951.28233282213</v>
      </c>
      <c r="J141" s="259">
        <f t="shared" si="14"/>
        <v>1790.01044921875</v>
      </c>
      <c r="K141" s="259">
        <f t="shared" si="6"/>
        <v>-1084.1895507812499</v>
      </c>
      <c r="L141" s="259">
        <f t="shared" si="7"/>
        <v>1084.1895507812499</v>
      </c>
      <c r="M141" s="259">
        <f t="shared" si="15"/>
        <v>1600.8429226150702</v>
      </c>
      <c r="N141" s="259">
        <f t="shared" si="8"/>
        <v>-1273.3570773849297</v>
      </c>
      <c r="O141" s="259">
        <f t="shared" si="9"/>
        <v>1273.3570773849297</v>
      </c>
      <c r="P141" s="259">
        <f t="shared" si="16"/>
        <v>1446.6517157171199</v>
      </c>
      <c r="Q141" s="259">
        <f t="shared" si="10"/>
        <v>-1427.5482842828799</v>
      </c>
      <c r="R141" s="259">
        <f t="shared" si="11"/>
        <v>1427.5482842828799</v>
      </c>
    </row>
    <row r="142" spans="1:18" ht="15.75" x14ac:dyDescent="0.25">
      <c r="A142" s="293">
        <v>2005</v>
      </c>
      <c r="B142" s="295">
        <v>13</v>
      </c>
      <c r="C142" s="294">
        <v>3771.3</v>
      </c>
      <c r="D142" s="259">
        <f t="shared" si="12"/>
        <v>2694.8094560624641</v>
      </c>
      <c r="E142" s="259">
        <f t="shared" si="2"/>
        <v>-1076.4905439375361</v>
      </c>
      <c r="F142" s="259">
        <f t="shared" si="3"/>
        <v>1076.4905439375361</v>
      </c>
      <c r="G142" s="259">
        <f t="shared" si="13"/>
        <v>2588.815300153361</v>
      </c>
      <c r="H142" s="259">
        <f t="shared" si="4"/>
        <v>-1182.4846998466392</v>
      </c>
      <c r="I142" s="259">
        <f t="shared" si="5"/>
        <v>1182.4846998466392</v>
      </c>
      <c r="J142" s="259">
        <f t="shared" si="14"/>
        <v>2332.105224609375</v>
      </c>
      <c r="K142" s="259">
        <f t="shared" si="6"/>
        <v>-1439.1947753906252</v>
      </c>
      <c r="L142" s="259">
        <f t="shared" si="7"/>
        <v>1439.1947753906252</v>
      </c>
      <c r="M142" s="259">
        <f t="shared" si="15"/>
        <v>1982.8500458305493</v>
      </c>
      <c r="N142" s="259">
        <f t="shared" si="8"/>
        <v>-1788.4499541694508</v>
      </c>
      <c r="O142" s="259">
        <f t="shared" si="9"/>
        <v>1788.4499541694508</v>
      </c>
      <c r="P142" s="259">
        <f t="shared" si="16"/>
        <v>1732.1613725736956</v>
      </c>
      <c r="Q142" s="259">
        <f t="shared" si="10"/>
        <v>-2039.1386274263045</v>
      </c>
      <c r="R142" s="259">
        <f t="shared" si="11"/>
        <v>2039.1386274263045</v>
      </c>
    </row>
    <row r="143" spans="1:18" ht="15.75" x14ac:dyDescent="0.25">
      <c r="A143" s="293">
        <v>2006</v>
      </c>
      <c r="B143" s="295">
        <v>14</v>
      </c>
      <c r="C143" s="294">
        <v>5291.6</v>
      </c>
      <c r="D143" s="259">
        <f t="shared" si="12"/>
        <v>3556.0018912124933</v>
      </c>
      <c r="E143" s="259">
        <f t="shared" si="2"/>
        <v>-1735.598108787507</v>
      </c>
      <c r="F143" s="259">
        <f t="shared" si="3"/>
        <v>1735.598108787507</v>
      </c>
      <c r="G143" s="259">
        <f t="shared" si="13"/>
        <v>3416.5545900460083</v>
      </c>
      <c r="H143" s="259">
        <f t="shared" si="4"/>
        <v>-1875.045409953992</v>
      </c>
      <c r="I143" s="259">
        <f t="shared" si="5"/>
        <v>1875.045409953992</v>
      </c>
      <c r="J143" s="259">
        <f t="shared" si="14"/>
        <v>3051.7026123046876</v>
      </c>
      <c r="K143" s="259">
        <f t="shared" si="6"/>
        <v>-2239.8973876953128</v>
      </c>
      <c r="L143" s="259">
        <f t="shared" si="7"/>
        <v>2239.8973876953128</v>
      </c>
      <c r="M143" s="259">
        <f t="shared" si="15"/>
        <v>2519.3850320813845</v>
      </c>
      <c r="N143" s="259">
        <f t="shared" si="8"/>
        <v>-2772.2149679186159</v>
      </c>
      <c r="O143" s="259">
        <f t="shared" si="9"/>
        <v>2772.2149679186159</v>
      </c>
      <c r="P143" s="259">
        <f t="shared" si="16"/>
        <v>2139.9890980589566</v>
      </c>
      <c r="Q143" s="259">
        <f t="shared" si="10"/>
        <v>-3151.6109019410437</v>
      </c>
      <c r="R143" s="259">
        <f t="shared" si="11"/>
        <v>3151.6109019410437</v>
      </c>
    </row>
    <row r="144" spans="1:18" ht="15.75" x14ac:dyDescent="0.25">
      <c r="A144" s="293">
        <v>2007</v>
      </c>
      <c r="B144" s="295">
        <v>15</v>
      </c>
      <c r="C144" s="294">
        <v>6771.6</v>
      </c>
      <c r="D144" s="259">
        <f t="shared" si="12"/>
        <v>4944.4803782424997</v>
      </c>
      <c r="E144" s="259">
        <f t="shared" si="2"/>
        <v>-1827.1196217575007</v>
      </c>
      <c r="F144" s="259">
        <f t="shared" si="3"/>
        <v>1827.1196217575007</v>
      </c>
      <c r="G144" s="259">
        <f t="shared" si="13"/>
        <v>4729.0863770138021</v>
      </c>
      <c r="H144" s="259">
        <f t="shared" si="4"/>
        <v>-2042.5136229861982</v>
      </c>
      <c r="I144" s="259">
        <f t="shared" si="5"/>
        <v>2042.5136229861982</v>
      </c>
      <c r="J144" s="259">
        <f>(1-$J$126)*C143+$J$126*J143</f>
        <v>4171.6513061523437</v>
      </c>
      <c r="K144" s="259">
        <f t="shared" si="6"/>
        <v>-2599.9486938476566</v>
      </c>
      <c r="L144" s="259">
        <f t="shared" si="7"/>
        <v>2599.9486938476566</v>
      </c>
      <c r="M144" s="259">
        <f t="shared" si="15"/>
        <v>3351.0495224569695</v>
      </c>
      <c r="N144" s="259">
        <f t="shared" si="8"/>
        <v>-3420.5504775430309</v>
      </c>
      <c r="O144" s="259">
        <f t="shared" si="9"/>
        <v>3420.5504775430309</v>
      </c>
      <c r="P144" s="259">
        <f t="shared" si="16"/>
        <v>2770.311278447165</v>
      </c>
      <c r="Q144" s="259">
        <f t="shared" si="10"/>
        <v>-4001.2887215528353</v>
      </c>
      <c r="R144" s="259">
        <f t="shared" si="11"/>
        <v>4001.2887215528353</v>
      </c>
    </row>
    <row r="145" spans="1:19" ht="15.75" x14ac:dyDescent="0.25">
      <c r="A145" s="293">
        <v>2008</v>
      </c>
      <c r="B145" s="295">
        <v>16</v>
      </c>
      <c r="C145" s="294">
        <v>8513.5</v>
      </c>
      <c r="D145" s="259">
        <f t="shared" si="12"/>
        <v>6406.176075648501</v>
      </c>
      <c r="E145" s="259">
        <f t="shared" si="2"/>
        <v>-2107.323924351499</v>
      </c>
      <c r="F145" s="259">
        <f t="shared" si="3"/>
        <v>2107.323924351499</v>
      </c>
      <c r="G145" s="259">
        <f t="shared" si="13"/>
        <v>6158.84591310414</v>
      </c>
      <c r="H145" s="259">
        <f t="shared" si="4"/>
        <v>-2354.65408689586</v>
      </c>
      <c r="I145" s="259">
        <f t="shared" si="5"/>
        <v>2354.65408689586</v>
      </c>
      <c r="J145" s="259">
        <f t="shared" si="14"/>
        <v>5471.6256530761721</v>
      </c>
      <c r="K145" s="259">
        <f t="shared" si="6"/>
        <v>-3041.8743469238279</v>
      </c>
      <c r="L145" s="259">
        <f t="shared" si="7"/>
        <v>3041.8743469238279</v>
      </c>
      <c r="M145" s="259">
        <f t="shared" si="15"/>
        <v>4377.2146657198791</v>
      </c>
      <c r="N145" s="259">
        <f t="shared" si="8"/>
        <v>-4136.2853342801209</v>
      </c>
      <c r="O145" s="259">
        <f t="shared" si="9"/>
        <v>4136.2853342801209</v>
      </c>
      <c r="P145" s="259">
        <f t="shared" si="16"/>
        <v>3570.569022757732</v>
      </c>
      <c r="Q145" s="259">
        <f t="shared" si="10"/>
        <v>-4942.9309772422675</v>
      </c>
      <c r="R145" s="259">
        <f t="shared" si="11"/>
        <v>4942.9309772422675</v>
      </c>
    </row>
    <row r="146" spans="1:19" ht="15.75" x14ac:dyDescent="0.25">
      <c r="A146" s="296">
        <v>2009</v>
      </c>
      <c r="B146" s="128">
        <v>17</v>
      </c>
      <c r="C146" s="297">
        <v>7164.8</v>
      </c>
      <c r="D146" s="259">
        <f t="shared" si="12"/>
        <v>8092.0352151297002</v>
      </c>
      <c r="E146" s="259">
        <f t="shared" si="2"/>
        <v>927.23521512970001</v>
      </c>
      <c r="F146" s="259">
        <f t="shared" si="3"/>
        <v>927.23521512970001</v>
      </c>
      <c r="G146" s="259">
        <f t="shared" si="13"/>
        <v>7807.1037739312414</v>
      </c>
      <c r="H146" s="259">
        <f t="shared" si="4"/>
        <v>642.30377393124127</v>
      </c>
      <c r="I146" s="259">
        <f t="shared" si="5"/>
        <v>642.30377393124127</v>
      </c>
      <c r="J146" s="259">
        <f t="shared" si="14"/>
        <v>6992.5628265380856</v>
      </c>
      <c r="K146" s="259">
        <f t="shared" si="6"/>
        <v>-172.23717346191461</v>
      </c>
      <c r="L146" s="259">
        <f t="shared" si="7"/>
        <v>172.23717346191461</v>
      </c>
      <c r="M146" s="259">
        <f t="shared" si="15"/>
        <v>5618.1002660039157</v>
      </c>
      <c r="N146" s="259">
        <f t="shared" si="8"/>
        <v>-1546.6997339960844</v>
      </c>
      <c r="O146" s="259">
        <f t="shared" si="9"/>
        <v>1546.6997339960844</v>
      </c>
      <c r="P146" s="259">
        <f t="shared" si="16"/>
        <v>4559.1552182061851</v>
      </c>
      <c r="Q146" s="259">
        <f t="shared" si="10"/>
        <v>-2605.6447817938151</v>
      </c>
      <c r="R146" s="259">
        <f t="shared" si="11"/>
        <v>2605.6447817938151</v>
      </c>
    </row>
    <row r="147" spans="1:19" ht="15.75" x14ac:dyDescent="0.25">
      <c r="A147" s="293">
        <v>2010</v>
      </c>
      <c r="B147" s="295">
        <v>18</v>
      </c>
      <c r="C147" s="294">
        <v>9070</v>
      </c>
      <c r="D147" s="259">
        <f t="shared" si="12"/>
        <v>7350.24704302594</v>
      </c>
      <c r="E147" s="259">
        <f t="shared" si="2"/>
        <v>-1719.75295697406</v>
      </c>
      <c r="F147" s="259">
        <f t="shared" si="3"/>
        <v>1719.75295697406</v>
      </c>
      <c r="G147" s="259">
        <f t="shared" si="13"/>
        <v>7357.4911321793716</v>
      </c>
      <c r="H147" s="259">
        <f t="shared" si="4"/>
        <v>-1712.5088678206284</v>
      </c>
      <c r="I147" s="259">
        <f t="shared" si="5"/>
        <v>1712.5088678206284</v>
      </c>
      <c r="J147" s="259">
        <f t="shared" si="14"/>
        <v>7078.6814132690433</v>
      </c>
      <c r="K147" s="259">
        <f t="shared" si="6"/>
        <v>-1991.3185867309567</v>
      </c>
      <c r="L147" s="259">
        <f t="shared" si="7"/>
        <v>1991.3185867309567</v>
      </c>
      <c r="M147" s="259">
        <f t="shared" si="15"/>
        <v>6082.1101862027408</v>
      </c>
      <c r="N147" s="259">
        <f t="shared" si="8"/>
        <v>-2987.8898137972592</v>
      </c>
      <c r="O147" s="259">
        <f t="shared" si="9"/>
        <v>2987.8898137972592</v>
      </c>
      <c r="P147" s="259">
        <f t="shared" si="16"/>
        <v>5080.2841745649484</v>
      </c>
      <c r="Q147" s="259">
        <f t="shared" si="10"/>
        <v>-3989.7158254350516</v>
      </c>
      <c r="R147" s="259">
        <f t="shared" si="11"/>
        <v>3989.7158254350516</v>
      </c>
    </row>
    <row r="148" spans="1:19" ht="15.75" x14ac:dyDescent="0.25">
      <c r="A148" s="293">
        <v>2011</v>
      </c>
      <c r="B148" s="295">
        <v>19</v>
      </c>
      <c r="C148" s="294">
        <v>11634.5</v>
      </c>
      <c r="D148" s="259">
        <f t="shared" si="12"/>
        <v>8726.0494086051876</v>
      </c>
      <c r="E148" s="259">
        <f t="shared" si="2"/>
        <v>-2908.4505913948124</v>
      </c>
      <c r="F148" s="259">
        <f t="shared" si="3"/>
        <v>2908.4505913948124</v>
      </c>
      <c r="G148" s="259">
        <f t="shared" si="13"/>
        <v>8556.2473396538117</v>
      </c>
      <c r="H148" s="259">
        <f t="shared" si="4"/>
        <v>-3078.2526603461883</v>
      </c>
      <c r="I148" s="259">
        <f t="shared" si="5"/>
        <v>3078.2526603461883</v>
      </c>
      <c r="J148" s="259">
        <f t="shared" si="14"/>
        <v>8074.3407066345217</v>
      </c>
      <c r="K148" s="259">
        <f t="shared" si="6"/>
        <v>-3560.1592933654783</v>
      </c>
      <c r="L148" s="259">
        <f t="shared" si="7"/>
        <v>3560.1592933654783</v>
      </c>
      <c r="M148" s="259">
        <f t="shared" si="15"/>
        <v>6978.4771303419184</v>
      </c>
      <c r="N148" s="259">
        <f t="shared" si="8"/>
        <v>-4656.0228696580816</v>
      </c>
      <c r="O148" s="259">
        <f t="shared" si="9"/>
        <v>4656.0228696580816</v>
      </c>
      <c r="P148" s="259">
        <f t="shared" si="16"/>
        <v>5878.2273396519586</v>
      </c>
      <c r="Q148" s="259">
        <f t="shared" si="10"/>
        <v>-5756.2726603480414</v>
      </c>
      <c r="R148" s="259">
        <f t="shared" si="11"/>
        <v>5756.2726603480414</v>
      </c>
    </row>
    <row r="149" spans="1:19" ht="15.75" x14ac:dyDescent="0.25">
      <c r="A149" s="293">
        <v>2012</v>
      </c>
      <c r="B149" s="295">
        <v>20</v>
      </c>
      <c r="C149" s="294">
        <v>12387.4</v>
      </c>
      <c r="D149" s="259">
        <f t="shared" si="12"/>
        <v>11052.809881721038</v>
      </c>
      <c r="E149" s="259">
        <f t="shared" si="2"/>
        <v>-1334.5901182789621</v>
      </c>
      <c r="F149" s="259">
        <f t="shared" si="3"/>
        <v>1334.5901182789621</v>
      </c>
      <c r="G149" s="259">
        <f t="shared" si="13"/>
        <v>10711.024201896143</v>
      </c>
      <c r="H149" s="259">
        <f t="shared" si="4"/>
        <v>-1676.3757981038561</v>
      </c>
      <c r="I149" s="259">
        <f t="shared" si="5"/>
        <v>1676.3757981038561</v>
      </c>
      <c r="J149" s="259">
        <f t="shared" si="14"/>
        <v>9854.4203533172604</v>
      </c>
      <c r="K149" s="259">
        <f t="shared" si="6"/>
        <v>-2532.9796466827393</v>
      </c>
      <c r="L149" s="259">
        <f t="shared" si="7"/>
        <v>2532.9796466827393</v>
      </c>
      <c r="M149" s="259">
        <f t="shared" si="15"/>
        <v>8375.2839912393429</v>
      </c>
      <c r="N149" s="259">
        <f t="shared" si="8"/>
        <v>-4012.1160087606568</v>
      </c>
      <c r="O149" s="259">
        <f t="shared" si="9"/>
        <v>4012.1160087606568</v>
      </c>
      <c r="P149" s="259">
        <f t="shared" si="16"/>
        <v>7029.4818717215667</v>
      </c>
      <c r="Q149" s="259">
        <f t="shared" si="10"/>
        <v>-5357.918128278433</v>
      </c>
      <c r="R149" s="259">
        <f t="shared" si="11"/>
        <v>5357.918128278433</v>
      </c>
    </row>
    <row r="150" spans="1:19" ht="15.75" x14ac:dyDescent="0.25">
      <c r="A150" s="293">
        <v>2013</v>
      </c>
      <c r="B150" s="295">
        <v>21</v>
      </c>
      <c r="C150" s="294">
        <v>13890.8</v>
      </c>
      <c r="D150" s="259">
        <f t="shared" si="12"/>
        <v>12120.481976344208</v>
      </c>
      <c r="E150" s="259">
        <f t="shared" si="2"/>
        <v>-1770.318023655791</v>
      </c>
      <c r="F150" s="259">
        <f t="shared" si="3"/>
        <v>1770.318023655791</v>
      </c>
      <c r="G150" s="259">
        <f t="shared" si="13"/>
        <v>11884.487260568842</v>
      </c>
      <c r="H150" s="259">
        <f t="shared" si="4"/>
        <v>-2006.3127394311578</v>
      </c>
      <c r="I150" s="259">
        <f t="shared" si="5"/>
        <v>2006.3127394311578</v>
      </c>
      <c r="J150" s="259">
        <f t="shared" si="14"/>
        <v>11120.91017665863</v>
      </c>
      <c r="K150" s="259">
        <f t="shared" si="6"/>
        <v>-2769.8898233413693</v>
      </c>
      <c r="L150" s="259">
        <f t="shared" si="7"/>
        <v>2769.8898233413693</v>
      </c>
      <c r="M150" s="259">
        <f t="shared" si="15"/>
        <v>9578.9187938675386</v>
      </c>
      <c r="N150" s="259">
        <f t="shared" si="8"/>
        <v>-4311.8812061324606</v>
      </c>
      <c r="O150" s="259">
        <f t="shared" si="9"/>
        <v>4311.8812061324606</v>
      </c>
      <c r="P150" s="259">
        <f t="shared" si="16"/>
        <v>8101.0654973772535</v>
      </c>
      <c r="Q150" s="259">
        <f t="shared" si="10"/>
        <v>-5789.7345026227458</v>
      </c>
      <c r="R150" s="259">
        <f t="shared" si="11"/>
        <v>5789.7345026227458</v>
      </c>
    </row>
    <row r="151" spans="1:19" ht="15.75" x14ac:dyDescent="0.25">
      <c r="A151" s="296">
        <v>2014</v>
      </c>
      <c r="B151" s="128">
        <v>22</v>
      </c>
      <c r="C151" s="297">
        <v>12806.7</v>
      </c>
      <c r="D151" s="259">
        <f t="shared" si="12"/>
        <v>13536.736395268841</v>
      </c>
      <c r="E151" s="259">
        <f t="shared" si="2"/>
        <v>730.03639526884035</v>
      </c>
      <c r="F151" s="259">
        <f t="shared" si="3"/>
        <v>730.03639526884035</v>
      </c>
      <c r="G151" s="259">
        <f t="shared" si="13"/>
        <v>13288.906178170651</v>
      </c>
      <c r="H151" s="259">
        <f t="shared" si="4"/>
        <v>482.20617817065067</v>
      </c>
      <c r="I151" s="259">
        <f t="shared" si="5"/>
        <v>482.20617817065067</v>
      </c>
      <c r="J151" s="259">
        <f t="shared" si="14"/>
        <v>12505.855088329314</v>
      </c>
      <c r="K151" s="259">
        <f t="shared" si="6"/>
        <v>-300.844911670687</v>
      </c>
      <c r="L151" s="259">
        <f t="shared" si="7"/>
        <v>300.844911670687</v>
      </c>
      <c r="M151" s="259">
        <f t="shared" si="15"/>
        <v>10872.483155707278</v>
      </c>
      <c r="N151" s="259">
        <f t="shared" si="8"/>
        <v>-1934.2168442927232</v>
      </c>
      <c r="O151" s="259">
        <f t="shared" si="9"/>
        <v>1934.2168442927232</v>
      </c>
      <c r="P151" s="259">
        <f t="shared" si="16"/>
        <v>9259.0123979018026</v>
      </c>
      <c r="Q151" s="259">
        <f t="shared" si="10"/>
        <v>-3547.6876020981981</v>
      </c>
      <c r="R151" s="259">
        <f t="shared" si="11"/>
        <v>3547.6876020981981</v>
      </c>
    </row>
    <row r="152" spans="1:19" ht="15.75" x14ac:dyDescent="0.25">
      <c r="A152" s="296">
        <v>2015</v>
      </c>
      <c r="B152" s="128">
        <v>23</v>
      </c>
      <c r="C152" s="297">
        <v>10509.9</v>
      </c>
      <c r="D152" s="259">
        <f t="shared" si="12"/>
        <v>12952.70727905377</v>
      </c>
      <c r="E152" s="259">
        <f t="shared" si="2"/>
        <v>2442.8072790537699</v>
      </c>
      <c r="F152" s="259">
        <f t="shared" si="3"/>
        <v>2442.8072790537699</v>
      </c>
      <c r="G152" s="259">
        <f t="shared" si="13"/>
        <v>12951.361853451195</v>
      </c>
      <c r="H152" s="259">
        <f t="shared" si="4"/>
        <v>2441.4618534511956</v>
      </c>
      <c r="I152" s="259">
        <f t="shared" si="5"/>
        <v>2441.4618534511956</v>
      </c>
      <c r="J152" s="259">
        <f t="shared" si="14"/>
        <v>12656.277544164657</v>
      </c>
      <c r="K152" s="259">
        <f t="shared" si="6"/>
        <v>2146.3775441646576</v>
      </c>
      <c r="L152" s="259">
        <f t="shared" si="7"/>
        <v>2146.3775441646576</v>
      </c>
      <c r="M152" s="259">
        <f t="shared" si="15"/>
        <v>11452.748208995094</v>
      </c>
      <c r="N152" s="259">
        <f t="shared" si="8"/>
        <v>942.84820899509396</v>
      </c>
      <c r="O152" s="259">
        <f t="shared" si="9"/>
        <v>942.84820899509396</v>
      </c>
      <c r="P152" s="259">
        <f t="shared" si="16"/>
        <v>9968.5499183214415</v>
      </c>
      <c r="Q152" s="259">
        <f t="shared" si="10"/>
        <v>-541.35008167855813</v>
      </c>
      <c r="R152" s="259">
        <f t="shared" si="11"/>
        <v>541.35008167855813</v>
      </c>
    </row>
    <row r="153" spans="1:19" ht="15.75" x14ac:dyDescent="0.25">
      <c r="A153" s="296">
        <v>2016</v>
      </c>
      <c r="B153" s="128">
        <v>24</v>
      </c>
      <c r="C153" s="297">
        <v>7714.8</v>
      </c>
      <c r="D153" s="259">
        <f t="shared" si="12"/>
        <v>10998.461455810753</v>
      </c>
      <c r="E153" s="259">
        <f t="shared" si="2"/>
        <v>3283.6614558107531</v>
      </c>
      <c r="F153" s="259">
        <f t="shared" si="3"/>
        <v>3283.6614558107531</v>
      </c>
      <c r="G153" s="259">
        <f t="shared" si="13"/>
        <v>11242.338556035358</v>
      </c>
      <c r="H153" s="259">
        <f t="shared" si="4"/>
        <v>3527.5385560353579</v>
      </c>
      <c r="I153" s="259">
        <f t="shared" si="5"/>
        <v>3527.5385560353579</v>
      </c>
      <c r="J153" s="259">
        <f t="shared" si="14"/>
        <v>11583.088772082328</v>
      </c>
      <c r="K153" s="259">
        <f t="shared" si="6"/>
        <v>3868.2887720823283</v>
      </c>
      <c r="L153" s="259">
        <f t="shared" si="7"/>
        <v>3868.2887720823283</v>
      </c>
      <c r="M153" s="259">
        <f t="shared" si="15"/>
        <v>11169.893746296566</v>
      </c>
      <c r="N153" s="259">
        <f t="shared" si="8"/>
        <v>3455.0937462965658</v>
      </c>
      <c r="O153" s="259">
        <f t="shared" si="9"/>
        <v>3455.0937462965658</v>
      </c>
      <c r="P153" s="259">
        <f t="shared" si="16"/>
        <v>10076.819934657153</v>
      </c>
      <c r="Q153" s="259">
        <f t="shared" si="10"/>
        <v>2362.0199346571526</v>
      </c>
      <c r="R153" s="259">
        <f t="shared" si="11"/>
        <v>2362.0199346571526</v>
      </c>
    </row>
    <row r="154" spans="1:19" x14ac:dyDescent="0.25">
      <c r="D154" s="333">
        <f t="shared" si="12"/>
        <v>8371.5322911621515</v>
      </c>
      <c r="E154" s="334"/>
      <c r="F154" s="333">
        <f>AVERAGE(F130:F153)</f>
        <v>1042.3395002699506</v>
      </c>
      <c r="G154" s="333">
        <f t="shared" si="13"/>
        <v>8773.0615668106075</v>
      </c>
      <c r="H154" s="333"/>
      <c r="I154" s="333">
        <f t="shared" ref="I154" si="17">AVERAGE(I130:I153)</f>
        <v>1097.9222003353832</v>
      </c>
      <c r="J154" s="333">
        <f t="shared" si="14"/>
        <v>9648.9443860411648</v>
      </c>
      <c r="K154" s="333"/>
      <c r="L154" s="333">
        <f t="shared" ref="L154" si="18">AVERAGE(L130:L153)</f>
        <v>1269.6593553990126</v>
      </c>
      <c r="M154" s="333">
        <f t="shared" si="15"/>
        <v>10133.365622407597</v>
      </c>
      <c r="N154" s="334"/>
      <c r="O154" s="333">
        <f>AVERAGE(O130:O153)</f>
        <v>1684.7836189142488</v>
      </c>
      <c r="P154" s="333">
        <f>(1-$P$126)*C153+$P$126*P153</f>
        <v>9604.4159477257217</v>
      </c>
      <c r="Q154" s="334"/>
      <c r="R154" s="333">
        <f>AVERAGE(R130:R153)</f>
        <v>2052.7133169976223</v>
      </c>
    </row>
    <row r="155" spans="1:19" x14ac:dyDescent="0.25">
      <c r="D155" t="s">
        <v>598</v>
      </c>
    </row>
    <row r="157" spans="1:19" x14ac:dyDescent="0.25">
      <c r="A157" s="141" t="s">
        <v>599</v>
      </c>
    </row>
    <row r="159" spans="1:19" x14ac:dyDescent="0.25">
      <c r="A159" s="454" t="s">
        <v>422</v>
      </c>
      <c r="B159" s="445" t="s">
        <v>428</v>
      </c>
      <c r="C159" s="454" t="s">
        <v>423</v>
      </c>
      <c r="D159" s="448" t="s">
        <v>600</v>
      </c>
      <c r="E159" s="448"/>
      <c r="F159" s="448"/>
      <c r="G159" s="448"/>
      <c r="H159" s="448"/>
      <c r="I159" s="448"/>
      <c r="J159" s="448"/>
      <c r="K159" s="448"/>
      <c r="L159" s="448"/>
      <c r="M159" s="448"/>
      <c r="N159" s="448"/>
      <c r="O159" s="448"/>
      <c r="P159" s="448"/>
      <c r="Q159" s="448"/>
      <c r="R159" s="448"/>
    </row>
    <row r="160" spans="1:19" ht="30" x14ac:dyDescent="0.25">
      <c r="A160" s="454"/>
      <c r="B160" s="445"/>
      <c r="C160" s="454"/>
      <c r="D160" s="232">
        <v>2</v>
      </c>
      <c r="E160" s="232" t="s">
        <v>596</v>
      </c>
      <c r="F160" s="232" t="s">
        <v>601</v>
      </c>
      <c r="G160" s="232">
        <v>3</v>
      </c>
      <c r="H160" s="232" t="s">
        <v>596</v>
      </c>
      <c r="I160" s="232" t="s">
        <v>601</v>
      </c>
      <c r="J160" s="232">
        <v>4</v>
      </c>
      <c r="K160" s="232" t="s">
        <v>596</v>
      </c>
      <c r="L160" s="232" t="s">
        <v>601</v>
      </c>
      <c r="M160" s="232">
        <v>5</v>
      </c>
      <c r="N160" s="232" t="s">
        <v>596</v>
      </c>
      <c r="O160" s="232" t="s">
        <v>601</v>
      </c>
      <c r="P160" s="232"/>
      <c r="Q160" s="232"/>
      <c r="R160" s="14"/>
      <c r="S160" s="303"/>
    </row>
    <row r="161" spans="1:19" x14ac:dyDescent="0.25">
      <c r="A161" s="454"/>
      <c r="B161" s="445"/>
      <c r="C161" s="454"/>
      <c r="D161" s="299"/>
      <c r="E161" s="299"/>
      <c r="F161" s="299"/>
      <c r="G161" s="299"/>
      <c r="H161" s="299"/>
      <c r="I161" s="299"/>
      <c r="J161" s="299"/>
      <c r="K161" s="299"/>
      <c r="L161" s="299"/>
      <c r="M161" s="299"/>
      <c r="N161" s="299"/>
      <c r="O161" s="299"/>
      <c r="P161" s="299"/>
      <c r="Q161" s="299"/>
      <c r="R161" s="299"/>
      <c r="S161" s="303"/>
    </row>
    <row r="162" spans="1:19" x14ac:dyDescent="0.25">
      <c r="A162" s="454"/>
      <c r="B162" s="445"/>
      <c r="C162" s="454"/>
      <c r="D162" s="299"/>
      <c r="E162" s="299"/>
      <c r="F162" s="299"/>
      <c r="G162" s="299"/>
      <c r="H162" s="299"/>
      <c r="I162" s="299"/>
      <c r="J162" s="299"/>
      <c r="K162" s="299"/>
      <c r="L162" s="299"/>
      <c r="M162" s="299"/>
      <c r="N162" s="299"/>
      <c r="O162" s="299"/>
      <c r="P162" s="299"/>
      <c r="Q162" s="299"/>
      <c r="R162" s="299"/>
      <c r="S162" s="303"/>
    </row>
    <row r="163" spans="1:19" x14ac:dyDescent="0.25">
      <c r="A163" s="454"/>
      <c r="B163" s="445"/>
      <c r="C163" s="454"/>
      <c r="D163" s="299"/>
      <c r="E163" s="299"/>
      <c r="F163" s="299"/>
      <c r="G163" s="299"/>
      <c r="H163" s="299"/>
      <c r="I163" s="299"/>
      <c r="J163" s="299"/>
      <c r="K163" s="299"/>
      <c r="L163" s="299"/>
      <c r="M163" s="299"/>
      <c r="N163" s="299"/>
      <c r="O163" s="299"/>
      <c r="P163" s="299"/>
      <c r="Q163" s="299"/>
      <c r="R163" s="299"/>
      <c r="S163" s="303"/>
    </row>
    <row r="164" spans="1:19" ht="15.75" x14ac:dyDescent="0.25">
      <c r="A164" s="293">
        <v>1993</v>
      </c>
      <c r="B164" s="295">
        <v>1</v>
      </c>
      <c r="C164" s="294">
        <v>696.2</v>
      </c>
      <c r="D164" s="299"/>
      <c r="E164" s="299"/>
      <c r="F164" s="299"/>
      <c r="G164" s="299"/>
      <c r="H164" s="299"/>
      <c r="I164" s="299"/>
      <c r="J164" s="299"/>
      <c r="K164" s="299"/>
      <c r="L164" s="299"/>
      <c r="M164" s="299"/>
      <c r="N164" s="299"/>
      <c r="O164" s="299"/>
      <c r="P164" s="299"/>
      <c r="Q164" s="299"/>
      <c r="R164" s="299"/>
      <c r="S164" s="303"/>
    </row>
    <row r="165" spans="1:19" ht="15.75" x14ac:dyDescent="0.25">
      <c r="A165" s="293">
        <v>1994</v>
      </c>
      <c r="B165" s="295">
        <v>2</v>
      </c>
      <c r="C165" s="294">
        <v>735.9</v>
      </c>
      <c r="D165" s="299"/>
      <c r="E165" s="299"/>
      <c r="F165" s="299"/>
      <c r="G165" s="299"/>
      <c r="H165" s="299"/>
      <c r="I165" s="299"/>
      <c r="J165" s="299"/>
      <c r="K165" s="299"/>
      <c r="L165" s="299"/>
      <c r="M165" s="299"/>
      <c r="N165" s="299"/>
      <c r="O165" s="299"/>
      <c r="P165" s="299"/>
      <c r="Q165" s="299"/>
      <c r="R165" s="299"/>
      <c r="S165" s="303"/>
    </row>
    <row r="166" spans="1:19" ht="15.75" x14ac:dyDescent="0.25">
      <c r="A166" s="293">
        <v>1995</v>
      </c>
      <c r="B166" s="295">
        <v>3</v>
      </c>
      <c r="C166" s="294">
        <v>1052.0999999999999</v>
      </c>
      <c r="D166" s="335">
        <f>(C165+C164)/2</f>
        <v>716.05</v>
      </c>
      <c r="E166" s="335">
        <f>D166-C166</f>
        <v>-336.04999999999995</v>
      </c>
      <c r="F166" s="335">
        <f>ABS(E166)</f>
        <v>336.04999999999995</v>
      </c>
      <c r="G166" s="335"/>
      <c r="H166" s="335"/>
      <c r="I166" s="335"/>
      <c r="J166" s="335"/>
      <c r="K166" s="335"/>
      <c r="L166" s="335"/>
      <c r="M166" s="335"/>
      <c r="N166" s="335"/>
      <c r="O166" s="335"/>
      <c r="P166" s="299"/>
      <c r="Q166" s="299"/>
      <c r="R166" s="299"/>
      <c r="S166" s="303"/>
    </row>
    <row r="167" spans="1:19" ht="15.75" x14ac:dyDescent="0.25">
      <c r="A167" s="293">
        <v>1996</v>
      </c>
      <c r="B167" s="295">
        <v>4</v>
      </c>
      <c r="C167" s="294">
        <v>1350.4</v>
      </c>
      <c r="D167" s="335">
        <f t="shared" ref="D167:D188" si="19">(C166+C165)/2</f>
        <v>894</v>
      </c>
      <c r="E167" s="335">
        <f t="shared" ref="E167:E187" si="20">D167-C167</f>
        <v>-456.40000000000009</v>
      </c>
      <c r="F167" s="335">
        <f t="shared" ref="F167:F187" si="21">ABS(E167)</f>
        <v>456.40000000000009</v>
      </c>
      <c r="G167" s="335">
        <f>(C164+C165+C166)/3</f>
        <v>828.06666666666661</v>
      </c>
      <c r="H167" s="335">
        <f>G167-C167</f>
        <v>-522.33333333333348</v>
      </c>
      <c r="I167" s="335">
        <f>ABS(H167)</f>
        <v>522.33333333333348</v>
      </c>
      <c r="J167" s="335"/>
      <c r="K167" s="335"/>
      <c r="L167" s="335"/>
      <c r="M167" s="335"/>
      <c r="N167" s="335"/>
      <c r="O167" s="335"/>
      <c r="P167" s="299"/>
      <c r="Q167" s="299"/>
      <c r="R167" s="299"/>
      <c r="S167" s="303"/>
    </row>
    <row r="168" spans="1:19" ht="15.75" x14ac:dyDescent="0.25">
      <c r="A168" s="293">
        <v>1997</v>
      </c>
      <c r="B168" s="295">
        <v>5</v>
      </c>
      <c r="C168" s="294">
        <v>1445.5</v>
      </c>
      <c r="D168" s="335">
        <f t="shared" si="19"/>
        <v>1201.25</v>
      </c>
      <c r="E168" s="335">
        <f t="shared" si="20"/>
        <v>-244.25</v>
      </c>
      <c r="F168" s="335">
        <f t="shared" si="21"/>
        <v>244.25</v>
      </c>
      <c r="G168" s="335">
        <f t="shared" ref="G168:G188" si="22">(C165+C166+C167)/3</f>
        <v>1046.1333333333334</v>
      </c>
      <c r="H168" s="335">
        <f t="shared" ref="H168:H187" si="23">G168-C168</f>
        <v>-399.36666666666656</v>
      </c>
      <c r="I168" s="335">
        <f t="shared" ref="I168:I187" si="24">ABS(H168)</f>
        <v>399.36666666666656</v>
      </c>
      <c r="J168" s="335">
        <f>(C164+C165+C166+C167)/4</f>
        <v>958.65</v>
      </c>
      <c r="K168" s="335">
        <f>J168-C168</f>
        <v>-486.85</v>
      </c>
      <c r="L168" s="335">
        <f>ABS(K168)</f>
        <v>486.85</v>
      </c>
      <c r="M168" s="335"/>
      <c r="N168" s="335"/>
      <c r="O168" s="335"/>
      <c r="P168" s="299"/>
      <c r="Q168" s="299"/>
      <c r="R168" s="299"/>
      <c r="S168" s="303"/>
    </row>
    <row r="169" spans="1:19" ht="15.75" x14ac:dyDescent="0.25">
      <c r="A169" s="293">
        <v>1998</v>
      </c>
      <c r="B169" s="295">
        <v>6</v>
      </c>
      <c r="C169" s="294">
        <v>1468.7</v>
      </c>
      <c r="D169" s="335">
        <f t="shared" si="19"/>
        <v>1397.95</v>
      </c>
      <c r="E169" s="335">
        <f t="shared" si="20"/>
        <v>-70.75</v>
      </c>
      <c r="F169" s="335">
        <f t="shared" si="21"/>
        <v>70.75</v>
      </c>
      <c r="G169" s="335">
        <f t="shared" si="22"/>
        <v>1282.6666666666667</v>
      </c>
      <c r="H169" s="335">
        <f t="shared" si="23"/>
        <v>-186.0333333333333</v>
      </c>
      <c r="I169" s="335">
        <f t="shared" si="24"/>
        <v>186.0333333333333</v>
      </c>
      <c r="J169" s="335">
        <f t="shared" ref="J169:J187" si="25">(C165+C166+C167+C168)/4</f>
        <v>1145.9749999999999</v>
      </c>
      <c r="K169" s="335">
        <f t="shared" ref="K169:K187" si="26">J169-C169</f>
        <v>-322.72500000000014</v>
      </c>
      <c r="L169" s="335">
        <f t="shared" ref="L169:L187" si="27">ABS(K169)</f>
        <v>322.72500000000014</v>
      </c>
      <c r="M169" s="335">
        <f>(C164+C165+C166+C167+C168)/5</f>
        <v>1056.02</v>
      </c>
      <c r="N169" s="335">
        <f>M169-C169</f>
        <v>-412.68000000000006</v>
      </c>
      <c r="O169" s="335">
        <f>ABS(N169)</f>
        <v>412.68000000000006</v>
      </c>
      <c r="P169" s="299"/>
      <c r="Q169" s="299"/>
      <c r="R169" s="299"/>
      <c r="S169" s="303"/>
    </row>
    <row r="170" spans="1:19" ht="15.75" x14ac:dyDescent="0.25">
      <c r="A170" s="296">
        <v>1999</v>
      </c>
      <c r="B170" s="128">
        <v>7</v>
      </c>
      <c r="C170" s="297">
        <v>1130.0999999999999</v>
      </c>
      <c r="D170" s="335">
        <f t="shared" si="19"/>
        <v>1457.1</v>
      </c>
      <c r="E170" s="335">
        <f t="shared" si="20"/>
        <v>327</v>
      </c>
      <c r="F170" s="335">
        <f t="shared" si="21"/>
        <v>327</v>
      </c>
      <c r="G170" s="335">
        <f t="shared" si="22"/>
        <v>1421.5333333333335</v>
      </c>
      <c r="H170" s="335">
        <f t="shared" si="23"/>
        <v>291.43333333333362</v>
      </c>
      <c r="I170" s="335">
        <f t="shared" si="24"/>
        <v>291.43333333333362</v>
      </c>
      <c r="J170" s="335">
        <f t="shared" si="25"/>
        <v>1329.175</v>
      </c>
      <c r="K170" s="335">
        <f t="shared" si="26"/>
        <v>199.07500000000005</v>
      </c>
      <c r="L170" s="335">
        <f t="shared" si="27"/>
        <v>199.07500000000005</v>
      </c>
      <c r="M170" s="335">
        <f t="shared" ref="M170:M188" si="28">(C165+C166+C167+C168+C169)/5</f>
        <v>1210.52</v>
      </c>
      <c r="N170" s="335">
        <f t="shared" ref="N170:N186" si="29">M170-C170</f>
        <v>80.420000000000073</v>
      </c>
      <c r="O170" s="335">
        <f t="shared" ref="O170:O187" si="30">ABS(N170)</f>
        <v>80.420000000000073</v>
      </c>
      <c r="P170" s="299"/>
      <c r="Q170" s="299"/>
      <c r="R170" s="299"/>
      <c r="S170" s="303"/>
    </row>
    <row r="171" spans="1:19" ht="15.75" x14ac:dyDescent="0.25">
      <c r="A171" s="293">
        <v>2000</v>
      </c>
      <c r="B171" s="295">
        <v>8</v>
      </c>
      <c r="C171" s="294">
        <v>1229</v>
      </c>
      <c r="D171" s="335">
        <f t="shared" si="19"/>
        <v>1299.4000000000001</v>
      </c>
      <c r="E171" s="335">
        <f t="shared" si="20"/>
        <v>70.400000000000091</v>
      </c>
      <c r="F171" s="335">
        <f t="shared" si="21"/>
        <v>70.400000000000091</v>
      </c>
      <c r="G171" s="335">
        <f t="shared" si="22"/>
        <v>1348.1</v>
      </c>
      <c r="H171" s="335">
        <f t="shared" si="23"/>
        <v>119.09999999999991</v>
      </c>
      <c r="I171" s="335">
        <f t="shared" si="24"/>
        <v>119.09999999999991</v>
      </c>
      <c r="J171" s="335">
        <f t="shared" si="25"/>
        <v>1348.6750000000002</v>
      </c>
      <c r="K171" s="335">
        <f t="shared" si="26"/>
        <v>119.67500000000018</v>
      </c>
      <c r="L171" s="335">
        <f t="shared" si="27"/>
        <v>119.67500000000018</v>
      </c>
      <c r="M171" s="335">
        <f t="shared" si="28"/>
        <v>1289.3599999999999</v>
      </c>
      <c r="N171" s="335">
        <f t="shared" si="29"/>
        <v>60.3599999999999</v>
      </c>
      <c r="O171" s="335">
        <f t="shared" si="30"/>
        <v>60.3599999999999</v>
      </c>
      <c r="P171" s="299"/>
      <c r="Q171" s="299"/>
      <c r="R171" s="299"/>
      <c r="S171" s="303"/>
    </row>
    <row r="172" spans="1:19" ht="15.75" x14ac:dyDescent="0.25">
      <c r="A172" s="293">
        <v>2001</v>
      </c>
      <c r="B172" s="295">
        <v>9</v>
      </c>
      <c r="C172" s="294">
        <v>1490.9</v>
      </c>
      <c r="D172" s="335">
        <f t="shared" si="19"/>
        <v>1179.55</v>
      </c>
      <c r="E172" s="335">
        <f t="shared" si="20"/>
        <v>-311.35000000000014</v>
      </c>
      <c r="F172" s="335">
        <f t="shared" si="21"/>
        <v>311.35000000000014</v>
      </c>
      <c r="G172" s="335">
        <f t="shared" si="22"/>
        <v>1275.9333333333334</v>
      </c>
      <c r="H172" s="335">
        <f t="shared" si="23"/>
        <v>-214.9666666666667</v>
      </c>
      <c r="I172" s="335">
        <f t="shared" si="24"/>
        <v>214.9666666666667</v>
      </c>
      <c r="J172" s="335">
        <f t="shared" si="25"/>
        <v>1318.3249999999998</v>
      </c>
      <c r="K172" s="335">
        <f t="shared" si="26"/>
        <v>-172.57500000000027</v>
      </c>
      <c r="L172" s="335">
        <f t="shared" si="27"/>
        <v>172.57500000000027</v>
      </c>
      <c r="M172" s="335">
        <f t="shared" si="28"/>
        <v>1324.7400000000002</v>
      </c>
      <c r="N172" s="335">
        <f t="shared" si="29"/>
        <v>-166.15999999999985</v>
      </c>
      <c r="O172" s="335">
        <f t="shared" si="30"/>
        <v>166.15999999999985</v>
      </c>
      <c r="P172" s="299"/>
      <c r="Q172" s="299"/>
      <c r="R172" s="299"/>
      <c r="S172" s="303"/>
    </row>
    <row r="173" spans="1:19" ht="15.75" x14ac:dyDescent="0.25">
      <c r="A173" s="293">
        <v>2002</v>
      </c>
      <c r="B173" s="295">
        <v>10</v>
      </c>
      <c r="C173" s="294">
        <v>1658</v>
      </c>
      <c r="D173" s="335">
        <f t="shared" si="19"/>
        <v>1359.95</v>
      </c>
      <c r="E173" s="335">
        <f t="shared" si="20"/>
        <v>-298.04999999999995</v>
      </c>
      <c r="F173" s="335">
        <f t="shared" si="21"/>
        <v>298.04999999999995</v>
      </c>
      <c r="G173" s="335">
        <f t="shared" si="22"/>
        <v>1283.3333333333333</v>
      </c>
      <c r="H173" s="335">
        <f t="shared" si="23"/>
        <v>-374.66666666666674</v>
      </c>
      <c r="I173" s="335">
        <f t="shared" si="24"/>
        <v>374.66666666666674</v>
      </c>
      <c r="J173" s="335">
        <f t="shared" si="25"/>
        <v>1329.6750000000002</v>
      </c>
      <c r="K173" s="335">
        <f t="shared" si="26"/>
        <v>-328.32499999999982</v>
      </c>
      <c r="L173" s="335">
        <f t="shared" si="27"/>
        <v>328.32499999999982</v>
      </c>
      <c r="M173" s="335">
        <f t="shared" si="28"/>
        <v>1352.8399999999997</v>
      </c>
      <c r="N173" s="335">
        <f t="shared" si="29"/>
        <v>-305.16000000000031</v>
      </c>
      <c r="O173" s="335">
        <f t="shared" si="30"/>
        <v>305.16000000000031</v>
      </c>
      <c r="P173" s="299"/>
      <c r="Q173" s="299"/>
      <c r="R173" s="299"/>
      <c r="S173" s="303"/>
    </row>
    <row r="174" spans="1:19" ht="15.75" x14ac:dyDescent="0.25">
      <c r="A174" s="293">
        <v>2003</v>
      </c>
      <c r="B174" s="295">
        <v>11</v>
      </c>
      <c r="C174" s="294">
        <v>2068.1</v>
      </c>
      <c r="D174" s="335">
        <f t="shared" si="19"/>
        <v>1574.45</v>
      </c>
      <c r="E174" s="335">
        <f t="shared" si="20"/>
        <v>-493.64999999999986</v>
      </c>
      <c r="F174" s="335">
        <f t="shared" si="21"/>
        <v>493.64999999999986</v>
      </c>
      <c r="G174" s="335">
        <f t="shared" si="22"/>
        <v>1459.3</v>
      </c>
      <c r="H174" s="335">
        <f t="shared" si="23"/>
        <v>-608.79999999999995</v>
      </c>
      <c r="I174" s="335">
        <f t="shared" si="24"/>
        <v>608.79999999999995</v>
      </c>
      <c r="J174" s="335">
        <f t="shared" si="25"/>
        <v>1377</v>
      </c>
      <c r="K174" s="335">
        <f t="shared" si="26"/>
        <v>-691.09999999999991</v>
      </c>
      <c r="L174" s="335">
        <f t="shared" si="27"/>
        <v>691.09999999999991</v>
      </c>
      <c r="M174" s="335">
        <f t="shared" si="28"/>
        <v>1395.3400000000001</v>
      </c>
      <c r="N174" s="335">
        <f t="shared" si="29"/>
        <v>-672.75999999999976</v>
      </c>
      <c r="O174" s="335">
        <f t="shared" si="30"/>
        <v>672.75999999999976</v>
      </c>
      <c r="P174" s="299"/>
      <c r="Q174" s="299"/>
      <c r="R174" s="299"/>
      <c r="S174" s="303"/>
    </row>
    <row r="175" spans="1:19" ht="15.75" x14ac:dyDescent="0.25">
      <c r="A175" s="293">
        <v>2004</v>
      </c>
      <c r="B175" s="295">
        <v>12</v>
      </c>
      <c r="C175" s="294">
        <v>2874.2</v>
      </c>
      <c r="D175" s="335">
        <f t="shared" si="19"/>
        <v>1863.05</v>
      </c>
      <c r="E175" s="335">
        <f t="shared" si="20"/>
        <v>-1011.1499999999999</v>
      </c>
      <c r="F175" s="335">
        <f t="shared" si="21"/>
        <v>1011.1499999999999</v>
      </c>
      <c r="G175" s="335">
        <f t="shared" si="22"/>
        <v>1739</v>
      </c>
      <c r="H175" s="335">
        <f t="shared" si="23"/>
        <v>-1135.1999999999998</v>
      </c>
      <c r="I175" s="335">
        <f t="shared" si="24"/>
        <v>1135.1999999999998</v>
      </c>
      <c r="J175" s="335">
        <f t="shared" si="25"/>
        <v>1611.5</v>
      </c>
      <c r="K175" s="335">
        <f t="shared" si="26"/>
        <v>-1262.6999999999998</v>
      </c>
      <c r="L175" s="335">
        <f t="shared" si="27"/>
        <v>1262.6999999999998</v>
      </c>
      <c r="M175" s="335">
        <f t="shared" si="28"/>
        <v>1515.22</v>
      </c>
      <c r="N175" s="335">
        <f t="shared" si="29"/>
        <v>-1358.9799999999998</v>
      </c>
      <c r="O175" s="335">
        <f t="shared" si="30"/>
        <v>1358.9799999999998</v>
      </c>
      <c r="P175" s="299"/>
      <c r="Q175" s="299"/>
      <c r="R175" s="299"/>
      <c r="S175" s="303"/>
    </row>
    <row r="176" spans="1:19" ht="15.75" x14ac:dyDescent="0.25">
      <c r="A176" s="293">
        <v>2005</v>
      </c>
      <c r="B176" s="295">
        <v>13</v>
      </c>
      <c r="C176" s="294">
        <v>3771.3</v>
      </c>
      <c r="D176" s="335">
        <f t="shared" si="19"/>
        <v>2471.1499999999996</v>
      </c>
      <c r="E176" s="335">
        <f t="shared" si="20"/>
        <v>-1300.1500000000005</v>
      </c>
      <c r="F176" s="335">
        <f t="shared" si="21"/>
        <v>1300.1500000000005</v>
      </c>
      <c r="G176" s="335">
        <f t="shared" si="22"/>
        <v>2200.1</v>
      </c>
      <c r="H176" s="335">
        <f t="shared" si="23"/>
        <v>-1571.2000000000003</v>
      </c>
      <c r="I176" s="335">
        <f t="shared" si="24"/>
        <v>1571.2000000000003</v>
      </c>
      <c r="J176" s="335">
        <f t="shared" si="25"/>
        <v>2022.8</v>
      </c>
      <c r="K176" s="335">
        <f t="shared" si="26"/>
        <v>-1748.5000000000002</v>
      </c>
      <c r="L176" s="335">
        <f t="shared" si="27"/>
        <v>1748.5000000000002</v>
      </c>
      <c r="M176" s="335">
        <f t="shared" si="28"/>
        <v>1864.0400000000002</v>
      </c>
      <c r="N176" s="335">
        <f t="shared" si="29"/>
        <v>-1907.26</v>
      </c>
      <c r="O176" s="335">
        <f t="shared" si="30"/>
        <v>1907.26</v>
      </c>
      <c r="P176" s="299"/>
      <c r="Q176" s="299"/>
      <c r="R176" s="299"/>
      <c r="S176" s="303"/>
    </row>
    <row r="177" spans="1:19" ht="15.75" x14ac:dyDescent="0.25">
      <c r="A177" s="293">
        <v>2006</v>
      </c>
      <c r="B177" s="295">
        <v>14</v>
      </c>
      <c r="C177" s="294">
        <v>5291.6</v>
      </c>
      <c r="D177" s="335">
        <f t="shared" si="19"/>
        <v>3322.75</v>
      </c>
      <c r="E177" s="335">
        <f t="shared" si="20"/>
        <v>-1968.8500000000004</v>
      </c>
      <c r="F177" s="335">
        <f t="shared" si="21"/>
        <v>1968.8500000000004</v>
      </c>
      <c r="G177" s="335">
        <f t="shared" si="22"/>
        <v>2904.5333333333328</v>
      </c>
      <c r="H177" s="335">
        <f t="shared" si="23"/>
        <v>-2387.0666666666675</v>
      </c>
      <c r="I177" s="335">
        <f t="shared" si="24"/>
        <v>2387.0666666666675</v>
      </c>
      <c r="J177" s="335">
        <f t="shared" si="25"/>
        <v>2592.8999999999996</v>
      </c>
      <c r="K177" s="335">
        <f t="shared" si="26"/>
        <v>-2698.7000000000007</v>
      </c>
      <c r="L177" s="335">
        <f t="shared" si="27"/>
        <v>2698.7000000000007</v>
      </c>
      <c r="M177" s="335">
        <f t="shared" si="28"/>
        <v>2372.5</v>
      </c>
      <c r="N177" s="335">
        <f t="shared" si="29"/>
        <v>-2919.1000000000004</v>
      </c>
      <c r="O177" s="335">
        <f t="shared" si="30"/>
        <v>2919.1000000000004</v>
      </c>
      <c r="P177" s="299"/>
      <c r="Q177" s="299"/>
      <c r="R177" s="299"/>
      <c r="S177" s="303"/>
    </row>
    <row r="178" spans="1:19" ht="15.75" x14ac:dyDescent="0.25">
      <c r="A178" s="293">
        <v>2007</v>
      </c>
      <c r="B178" s="295">
        <v>15</v>
      </c>
      <c r="C178" s="294">
        <v>6771.6</v>
      </c>
      <c r="D178" s="335">
        <f t="shared" si="19"/>
        <v>4531.4500000000007</v>
      </c>
      <c r="E178" s="335">
        <f t="shared" si="20"/>
        <v>-2240.1499999999996</v>
      </c>
      <c r="F178" s="335">
        <f t="shared" si="21"/>
        <v>2240.1499999999996</v>
      </c>
      <c r="G178" s="335">
        <f t="shared" si="22"/>
        <v>3979.0333333333333</v>
      </c>
      <c r="H178" s="335">
        <f t="shared" si="23"/>
        <v>-2792.5666666666671</v>
      </c>
      <c r="I178" s="335">
        <f t="shared" si="24"/>
        <v>2792.5666666666671</v>
      </c>
      <c r="J178" s="335">
        <f t="shared" si="25"/>
        <v>3501.2999999999997</v>
      </c>
      <c r="K178" s="335">
        <f t="shared" si="26"/>
        <v>-3270.3000000000006</v>
      </c>
      <c r="L178" s="335">
        <f t="shared" si="27"/>
        <v>3270.3000000000006</v>
      </c>
      <c r="M178" s="335">
        <f t="shared" si="28"/>
        <v>3132.64</v>
      </c>
      <c r="N178" s="335">
        <f t="shared" si="29"/>
        <v>-3638.9600000000005</v>
      </c>
      <c r="O178" s="335">
        <f t="shared" si="30"/>
        <v>3638.9600000000005</v>
      </c>
      <c r="P178" s="299"/>
      <c r="Q178" s="299"/>
      <c r="R178" s="299"/>
      <c r="S178" s="303"/>
    </row>
    <row r="179" spans="1:19" ht="15.75" x14ac:dyDescent="0.25">
      <c r="A179" s="293">
        <v>2008</v>
      </c>
      <c r="B179" s="295">
        <v>16</v>
      </c>
      <c r="C179" s="294">
        <v>8513.5</v>
      </c>
      <c r="D179" s="335">
        <f t="shared" si="19"/>
        <v>6031.6</v>
      </c>
      <c r="E179" s="335">
        <f t="shared" si="20"/>
        <v>-2481.8999999999996</v>
      </c>
      <c r="F179" s="335">
        <f t="shared" si="21"/>
        <v>2481.8999999999996</v>
      </c>
      <c r="G179" s="335">
        <f t="shared" si="22"/>
        <v>5278.166666666667</v>
      </c>
      <c r="H179" s="335">
        <f t="shared" si="23"/>
        <v>-3235.333333333333</v>
      </c>
      <c r="I179" s="335">
        <f t="shared" si="24"/>
        <v>3235.333333333333</v>
      </c>
      <c r="J179" s="335">
        <f t="shared" si="25"/>
        <v>4677.1750000000002</v>
      </c>
      <c r="K179" s="335">
        <f t="shared" si="26"/>
        <v>-3836.3249999999998</v>
      </c>
      <c r="L179" s="335">
        <f t="shared" si="27"/>
        <v>3836.3249999999998</v>
      </c>
      <c r="M179" s="335">
        <f t="shared" si="28"/>
        <v>4155.3599999999997</v>
      </c>
      <c r="N179" s="335">
        <f t="shared" si="29"/>
        <v>-4358.1400000000003</v>
      </c>
      <c r="O179" s="335">
        <f t="shared" si="30"/>
        <v>4358.1400000000003</v>
      </c>
      <c r="P179" s="299"/>
      <c r="Q179" s="299"/>
      <c r="R179" s="299"/>
      <c r="S179" s="303"/>
    </row>
    <row r="180" spans="1:19" ht="15.75" x14ac:dyDescent="0.25">
      <c r="A180" s="296">
        <v>2009</v>
      </c>
      <c r="B180" s="128">
        <v>17</v>
      </c>
      <c r="C180" s="297">
        <v>7164.8</v>
      </c>
      <c r="D180" s="335">
        <f t="shared" si="19"/>
        <v>7642.55</v>
      </c>
      <c r="E180" s="335">
        <f t="shared" si="20"/>
        <v>477.75</v>
      </c>
      <c r="F180" s="335">
        <f t="shared" si="21"/>
        <v>477.75</v>
      </c>
      <c r="G180" s="335">
        <f t="shared" si="22"/>
        <v>6858.9000000000005</v>
      </c>
      <c r="H180" s="335">
        <f t="shared" si="23"/>
        <v>-305.89999999999964</v>
      </c>
      <c r="I180" s="335">
        <f t="shared" si="24"/>
        <v>305.89999999999964</v>
      </c>
      <c r="J180" s="335">
        <f t="shared" si="25"/>
        <v>6087</v>
      </c>
      <c r="K180" s="335">
        <f t="shared" si="26"/>
        <v>-1077.8000000000002</v>
      </c>
      <c r="L180" s="335">
        <f t="shared" si="27"/>
        <v>1077.8000000000002</v>
      </c>
      <c r="M180" s="335">
        <f t="shared" si="28"/>
        <v>5444.4400000000005</v>
      </c>
      <c r="N180" s="335">
        <f t="shared" si="29"/>
        <v>-1720.3599999999997</v>
      </c>
      <c r="O180" s="335">
        <f t="shared" si="30"/>
        <v>1720.3599999999997</v>
      </c>
      <c r="P180" s="299"/>
      <c r="Q180" s="299"/>
      <c r="R180" s="299"/>
      <c r="S180" s="303"/>
    </row>
    <row r="181" spans="1:19" ht="15.75" x14ac:dyDescent="0.25">
      <c r="A181" s="293">
        <v>2010</v>
      </c>
      <c r="B181" s="295">
        <v>18</v>
      </c>
      <c r="C181" s="294">
        <v>9070</v>
      </c>
      <c r="D181" s="335">
        <f t="shared" si="19"/>
        <v>7839.15</v>
      </c>
      <c r="E181" s="335">
        <f t="shared" si="20"/>
        <v>-1230.8500000000004</v>
      </c>
      <c r="F181" s="335">
        <f t="shared" si="21"/>
        <v>1230.8500000000004</v>
      </c>
      <c r="G181" s="335">
        <f t="shared" si="22"/>
        <v>7483.3</v>
      </c>
      <c r="H181" s="335">
        <f t="shared" si="23"/>
        <v>-1586.6999999999998</v>
      </c>
      <c r="I181" s="335">
        <f t="shared" si="24"/>
        <v>1586.6999999999998</v>
      </c>
      <c r="J181" s="335">
        <f t="shared" si="25"/>
        <v>6935.375</v>
      </c>
      <c r="K181" s="335">
        <f t="shared" si="26"/>
        <v>-2134.625</v>
      </c>
      <c r="L181" s="335">
        <f t="shared" si="27"/>
        <v>2134.625</v>
      </c>
      <c r="M181" s="335">
        <f t="shared" si="28"/>
        <v>6302.5599999999995</v>
      </c>
      <c r="N181" s="335">
        <f t="shared" si="29"/>
        <v>-2767.4400000000005</v>
      </c>
      <c r="O181" s="335">
        <f t="shared" si="30"/>
        <v>2767.4400000000005</v>
      </c>
      <c r="P181" s="299"/>
      <c r="Q181" s="299"/>
      <c r="R181" s="299"/>
      <c r="S181" s="303"/>
    </row>
    <row r="182" spans="1:19" ht="15.75" x14ac:dyDescent="0.25">
      <c r="A182" s="293">
        <v>2011</v>
      </c>
      <c r="B182" s="295">
        <v>19</v>
      </c>
      <c r="C182" s="294">
        <v>11634.5</v>
      </c>
      <c r="D182" s="335">
        <f t="shared" si="19"/>
        <v>8117.4</v>
      </c>
      <c r="E182" s="335">
        <f t="shared" si="20"/>
        <v>-3517.1000000000004</v>
      </c>
      <c r="F182" s="335">
        <f t="shared" si="21"/>
        <v>3517.1000000000004</v>
      </c>
      <c r="G182" s="335">
        <f t="shared" si="22"/>
        <v>8249.4333333333325</v>
      </c>
      <c r="H182" s="335">
        <f t="shared" si="23"/>
        <v>-3385.0666666666675</v>
      </c>
      <c r="I182" s="335">
        <f t="shared" si="24"/>
        <v>3385.0666666666675</v>
      </c>
      <c r="J182" s="335">
        <f t="shared" si="25"/>
        <v>7879.9750000000004</v>
      </c>
      <c r="K182" s="335">
        <f t="shared" si="26"/>
        <v>-3754.5249999999996</v>
      </c>
      <c r="L182" s="335">
        <f t="shared" si="27"/>
        <v>3754.5249999999996</v>
      </c>
      <c r="M182" s="335">
        <f t="shared" si="28"/>
        <v>7362.3</v>
      </c>
      <c r="N182" s="335">
        <f t="shared" si="29"/>
        <v>-4272.2</v>
      </c>
      <c r="O182" s="335">
        <f t="shared" si="30"/>
        <v>4272.2</v>
      </c>
      <c r="P182" s="299"/>
      <c r="Q182" s="299"/>
      <c r="R182" s="299"/>
      <c r="S182" s="303"/>
    </row>
    <row r="183" spans="1:19" ht="15.75" x14ac:dyDescent="0.25">
      <c r="A183" s="293">
        <v>2012</v>
      </c>
      <c r="B183" s="295">
        <v>20</v>
      </c>
      <c r="C183" s="294">
        <v>12387.4</v>
      </c>
      <c r="D183" s="335">
        <f t="shared" si="19"/>
        <v>10352.25</v>
      </c>
      <c r="E183" s="335">
        <f t="shared" si="20"/>
        <v>-2035.1499999999996</v>
      </c>
      <c r="F183" s="335">
        <f t="shared" si="21"/>
        <v>2035.1499999999996</v>
      </c>
      <c r="G183" s="335">
        <f t="shared" si="22"/>
        <v>9289.7666666666664</v>
      </c>
      <c r="H183" s="335">
        <f t="shared" si="23"/>
        <v>-3097.6333333333332</v>
      </c>
      <c r="I183" s="335">
        <f t="shared" si="24"/>
        <v>3097.6333333333332</v>
      </c>
      <c r="J183" s="335">
        <f t="shared" si="25"/>
        <v>9095.7000000000007</v>
      </c>
      <c r="K183" s="335">
        <f t="shared" si="26"/>
        <v>-3291.6999999999989</v>
      </c>
      <c r="L183" s="335">
        <f t="shared" si="27"/>
        <v>3291.6999999999989</v>
      </c>
      <c r="M183" s="335">
        <f t="shared" si="28"/>
        <v>8630.880000000001</v>
      </c>
      <c r="N183" s="335">
        <f t="shared" si="29"/>
        <v>-3756.5199999999986</v>
      </c>
      <c r="O183" s="335">
        <f t="shared" si="30"/>
        <v>3756.5199999999986</v>
      </c>
      <c r="P183" s="299"/>
      <c r="Q183" s="299"/>
      <c r="R183" s="299"/>
      <c r="S183" s="303"/>
    </row>
    <row r="184" spans="1:19" ht="15.75" x14ac:dyDescent="0.25">
      <c r="A184" s="293">
        <v>2013</v>
      </c>
      <c r="B184" s="295">
        <v>21</v>
      </c>
      <c r="C184" s="294">
        <v>13890.8</v>
      </c>
      <c r="D184" s="335">
        <f t="shared" si="19"/>
        <v>12010.95</v>
      </c>
      <c r="E184" s="335">
        <f t="shared" si="20"/>
        <v>-1879.8499999999985</v>
      </c>
      <c r="F184" s="335">
        <f t="shared" si="21"/>
        <v>1879.8499999999985</v>
      </c>
      <c r="G184" s="335">
        <f t="shared" si="22"/>
        <v>11030.633333333333</v>
      </c>
      <c r="H184" s="335">
        <f t="shared" si="23"/>
        <v>-2860.1666666666661</v>
      </c>
      <c r="I184" s="335">
        <f t="shared" si="24"/>
        <v>2860.1666666666661</v>
      </c>
      <c r="J184" s="335">
        <f t="shared" si="25"/>
        <v>10064.174999999999</v>
      </c>
      <c r="K184" s="335">
        <f t="shared" si="26"/>
        <v>-3826.625</v>
      </c>
      <c r="L184" s="335">
        <f t="shared" si="27"/>
        <v>3826.625</v>
      </c>
      <c r="M184" s="335">
        <f t="shared" si="28"/>
        <v>9754.0400000000009</v>
      </c>
      <c r="N184" s="335">
        <f t="shared" si="29"/>
        <v>-4136.7599999999984</v>
      </c>
      <c r="O184" s="335">
        <f t="shared" si="30"/>
        <v>4136.7599999999984</v>
      </c>
      <c r="P184" s="299"/>
      <c r="Q184" s="299"/>
      <c r="R184" s="299"/>
      <c r="S184" s="303"/>
    </row>
    <row r="185" spans="1:19" ht="15.75" x14ac:dyDescent="0.25">
      <c r="A185" s="296">
        <v>2014</v>
      </c>
      <c r="B185" s="128">
        <v>22</v>
      </c>
      <c r="C185" s="297">
        <v>12806.7</v>
      </c>
      <c r="D185" s="335">
        <f t="shared" si="19"/>
        <v>13139.099999999999</v>
      </c>
      <c r="E185" s="335">
        <f t="shared" si="20"/>
        <v>332.39999999999782</v>
      </c>
      <c r="F185" s="335">
        <f t="shared" si="21"/>
        <v>332.39999999999782</v>
      </c>
      <c r="G185" s="335">
        <f t="shared" si="22"/>
        <v>12637.566666666666</v>
      </c>
      <c r="H185" s="335">
        <f t="shared" si="23"/>
        <v>-169.13333333333503</v>
      </c>
      <c r="I185" s="335">
        <f t="shared" si="24"/>
        <v>169.13333333333503</v>
      </c>
      <c r="J185" s="335">
        <f t="shared" si="25"/>
        <v>11745.674999999999</v>
      </c>
      <c r="K185" s="335">
        <f t="shared" si="26"/>
        <v>-1061.0250000000015</v>
      </c>
      <c r="L185" s="335">
        <f t="shared" si="27"/>
        <v>1061.0250000000015</v>
      </c>
      <c r="M185" s="335">
        <f t="shared" si="28"/>
        <v>10829.5</v>
      </c>
      <c r="N185" s="335">
        <f t="shared" si="29"/>
        <v>-1977.2000000000007</v>
      </c>
      <c r="O185" s="335">
        <f t="shared" si="30"/>
        <v>1977.2000000000007</v>
      </c>
      <c r="P185" s="299"/>
      <c r="Q185" s="299"/>
      <c r="R185" s="299"/>
      <c r="S185" s="303"/>
    </row>
    <row r="186" spans="1:19" ht="15.75" x14ac:dyDescent="0.25">
      <c r="A186" s="296">
        <v>2015</v>
      </c>
      <c r="B186" s="128">
        <v>23</v>
      </c>
      <c r="C186" s="297">
        <v>10509.9</v>
      </c>
      <c r="D186" s="335">
        <f t="shared" si="19"/>
        <v>13348.75</v>
      </c>
      <c r="E186" s="335">
        <f t="shared" si="20"/>
        <v>2838.8500000000004</v>
      </c>
      <c r="F186" s="335">
        <f t="shared" si="21"/>
        <v>2838.8500000000004</v>
      </c>
      <c r="G186" s="335">
        <f t="shared" si="22"/>
        <v>13028.299999999997</v>
      </c>
      <c r="H186" s="335">
        <f t="shared" si="23"/>
        <v>2518.3999999999978</v>
      </c>
      <c r="I186" s="335">
        <f t="shared" si="24"/>
        <v>2518.3999999999978</v>
      </c>
      <c r="J186" s="335">
        <f t="shared" si="25"/>
        <v>12679.849999999999</v>
      </c>
      <c r="K186" s="335">
        <f t="shared" si="26"/>
        <v>2169.9499999999989</v>
      </c>
      <c r="L186" s="335">
        <f t="shared" si="27"/>
        <v>2169.9499999999989</v>
      </c>
      <c r="M186" s="335">
        <f t="shared" si="28"/>
        <v>11957.88</v>
      </c>
      <c r="N186" s="335">
        <f t="shared" si="29"/>
        <v>1447.9799999999996</v>
      </c>
      <c r="O186" s="335">
        <f t="shared" si="30"/>
        <v>1447.9799999999996</v>
      </c>
      <c r="P186" s="299"/>
      <c r="Q186" s="299"/>
      <c r="R186" s="299"/>
      <c r="S186" s="303"/>
    </row>
    <row r="187" spans="1:19" ht="15.75" x14ac:dyDescent="0.25">
      <c r="A187" s="296">
        <v>2016</v>
      </c>
      <c r="B187" s="128">
        <v>24</v>
      </c>
      <c r="C187" s="297">
        <v>7714.8</v>
      </c>
      <c r="D187" s="335">
        <f t="shared" si="19"/>
        <v>11658.3</v>
      </c>
      <c r="E187" s="335">
        <f t="shared" si="20"/>
        <v>3943.4999999999991</v>
      </c>
      <c r="F187" s="335">
        <f t="shared" si="21"/>
        <v>3943.4999999999991</v>
      </c>
      <c r="G187" s="335">
        <f t="shared" si="22"/>
        <v>12402.466666666667</v>
      </c>
      <c r="H187" s="335">
        <f t="shared" si="23"/>
        <v>4687.666666666667</v>
      </c>
      <c r="I187" s="335">
        <f t="shared" si="24"/>
        <v>4687.666666666667</v>
      </c>
      <c r="J187" s="335">
        <f t="shared" si="25"/>
        <v>12398.699999999999</v>
      </c>
      <c r="K187" s="335">
        <f t="shared" si="26"/>
        <v>4683.8999999999987</v>
      </c>
      <c r="L187" s="335">
        <f t="shared" si="27"/>
        <v>4683.8999999999987</v>
      </c>
      <c r="M187" s="335">
        <f t="shared" si="28"/>
        <v>12245.859999999999</v>
      </c>
      <c r="N187" s="335">
        <f>M187-C187</f>
        <v>4531.0599999999986</v>
      </c>
      <c r="O187" s="335">
        <f t="shared" si="30"/>
        <v>4531.0599999999986</v>
      </c>
      <c r="P187" s="299"/>
      <c r="Q187" s="299"/>
      <c r="R187" s="299"/>
      <c r="S187" s="303"/>
    </row>
    <row r="188" spans="1:19" x14ac:dyDescent="0.25">
      <c r="D188" s="336">
        <f t="shared" si="19"/>
        <v>9112.35</v>
      </c>
      <c r="E188" s="337"/>
      <c r="F188" s="338">
        <f>AVERAGE(F166:F187)</f>
        <v>1266.6159090909093</v>
      </c>
      <c r="G188" s="338">
        <f t="shared" si="22"/>
        <v>10343.799999999999</v>
      </c>
      <c r="H188" s="337"/>
      <c r="I188" s="338">
        <f>AVERAGE(I167:I187)</f>
        <v>1545.1777777777777</v>
      </c>
      <c r="J188" s="338">
        <f>(C184+C185+C186+C187)/4</f>
        <v>11230.550000000001</v>
      </c>
      <c r="K188" s="337"/>
      <c r="L188" s="338">
        <f>AVERAGE(L168:L187)</f>
        <v>1856.85</v>
      </c>
      <c r="M188" s="338">
        <f t="shared" si="28"/>
        <v>11461.92</v>
      </c>
      <c r="N188" s="337"/>
      <c r="O188" s="338">
        <f>AVERAGE(O169:O187)</f>
        <v>2131.0263157894738</v>
      </c>
    </row>
    <row r="189" spans="1:19" x14ac:dyDescent="0.25">
      <c r="D189" t="s">
        <v>602</v>
      </c>
    </row>
    <row r="191" spans="1:19" x14ac:dyDescent="0.25">
      <c r="A191" s="141" t="s">
        <v>605</v>
      </c>
    </row>
    <row r="192" spans="1:19" ht="15.75" thickBot="1" x14ac:dyDescent="0.3"/>
    <row r="193" spans="1:13" s="309" customFormat="1" ht="120" x14ac:dyDescent="0.25">
      <c r="A193" s="458" t="s">
        <v>422</v>
      </c>
      <c r="B193" s="482" t="s">
        <v>428</v>
      </c>
      <c r="C193" s="485" t="s">
        <v>423</v>
      </c>
      <c r="D193" s="312" t="s">
        <v>603</v>
      </c>
      <c r="E193" s="313" t="s">
        <v>607</v>
      </c>
      <c r="F193" s="313" t="s">
        <v>606</v>
      </c>
      <c r="G193" s="313" t="s">
        <v>608</v>
      </c>
      <c r="H193" s="314" t="s">
        <v>609</v>
      </c>
      <c r="I193" s="312" t="s">
        <v>603</v>
      </c>
      <c r="J193" s="313" t="s">
        <v>607</v>
      </c>
      <c r="K193" s="313" t="s">
        <v>606</v>
      </c>
      <c r="L193" s="313" t="s">
        <v>608</v>
      </c>
      <c r="M193" s="314" t="s">
        <v>609</v>
      </c>
    </row>
    <row r="194" spans="1:13" s="304" customFormat="1" x14ac:dyDescent="0.25">
      <c r="A194" s="459"/>
      <c r="B194" s="483"/>
      <c r="C194" s="486"/>
      <c r="D194" s="315" t="s">
        <v>553</v>
      </c>
      <c r="E194" s="305" t="s">
        <v>604</v>
      </c>
      <c r="F194" s="305"/>
      <c r="G194" s="305"/>
      <c r="H194" s="316"/>
      <c r="I194" s="315" t="s">
        <v>553</v>
      </c>
      <c r="J194" s="305" t="s">
        <v>604</v>
      </c>
      <c r="K194" s="305"/>
      <c r="L194" s="305"/>
      <c r="M194" s="316"/>
    </row>
    <row r="195" spans="1:13" s="304" customFormat="1" x14ac:dyDescent="0.25">
      <c r="A195" s="459"/>
      <c r="B195" s="483"/>
      <c r="C195" s="486"/>
      <c r="D195" s="315">
        <v>0.4</v>
      </c>
      <c r="E195" s="305">
        <v>0.5</v>
      </c>
      <c r="F195" s="305"/>
      <c r="G195" s="305"/>
      <c r="H195" s="316"/>
      <c r="I195" s="315">
        <v>0.5</v>
      </c>
      <c r="J195" s="305">
        <v>0.4</v>
      </c>
      <c r="K195" s="305"/>
      <c r="L195" s="305"/>
      <c r="M195" s="316"/>
    </row>
    <row r="196" spans="1:13" s="304" customFormat="1" x14ac:dyDescent="0.25">
      <c r="A196" s="459"/>
      <c r="B196" s="483"/>
      <c r="C196" s="486"/>
      <c r="D196" s="315"/>
      <c r="E196" s="305"/>
      <c r="F196" s="305"/>
      <c r="G196" s="305"/>
      <c r="H196" s="316"/>
      <c r="I196" s="315"/>
      <c r="J196" s="305"/>
      <c r="K196" s="305"/>
      <c r="L196" s="305"/>
      <c r="M196" s="316"/>
    </row>
    <row r="197" spans="1:13" s="304" customFormat="1" ht="15.75" thickBot="1" x14ac:dyDescent="0.3">
      <c r="A197" s="460"/>
      <c r="B197" s="484"/>
      <c r="C197" s="487"/>
      <c r="D197" s="329"/>
      <c r="E197" s="330"/>
      <c r="F197" s="330"/>
      <c r="G197" s="330"/>
      <c r="H197" s="331"/>
      <c r="I197" s="329"/>
      <c r="J197" s="330"/>
      <c r="K197" s="330"/>
      <c r="L197" s="330"/>
      <c r="M197" s="331"/>
    </row>
    <row r="198" spans="1:13" ht="15.75" x14ac:dyDescent="0.25">
      <c r="A198" s="323">
        <v>1993</v>
      </c>
      <c r="B198" s="324">
        <v>1</v>
      </c>
      <c r="C198" s="325">
        <v>696.2</v>
      </c>
      <c r="D198" s="326">
        <f>C198</f>
        <v>696.2</v>
      </c>
      <c r="E198" s="327">
        <f>(C201-C200+C199-C198)/2</f>
        <v>169.00000000000011</v>
      </c>
      <c r="F198" s="279"/>
      <c r="G198" s="279"/>
      <c r="H198" s="280"/>
      <c r="I198" s="328">
        <f>C198</f>
        <v>696.2</v>
      </c>
      <c r="J198" s="279">
        <f>((C201-C200)+(C199-C198))/2</f>
        <v>169.00000000000006</v>
      </c>
      <c r="K198" s="279"/>
      <c r="L198" s="279"/>
      <c r="M198" s="280"/>
    </row>
    <row r="199" spans="1:13" ht="15.75" x14ac:dyDescent="0.25">
      <c r="A199" s="293">
        <v>1994</v>
      </c>
      <c r="B199" s="295">
        <v>2</v>
      </c>
      <c r="C199" s="310">
        <v>735.9</v>
      </c>
      <c r="D199" s="317">
        <f>(1-D195)*C199+D195*(C198+E198)</f>
        <v>787.62000000000012</v>
      </c>
      <c r="E199" s="234">
        <f>(1-E195)*(C199-D198)+E195*E198</f>
        <v>104.35000000000002</v>
      </c>
      <c r="F199" s="133"/>
      <c r="G199" s="133"/>
      <c r="H199" s="175"/>
      <c r="I199" s="195">
        <f>(1-$I$195)*C199+$I$195*(C198+J198)</f>
        <v>800.55</v>
      </c>
      <c r="J199" s="133">
        <f>(1-$J$195)*(C199-I198)+$J$195*J198</f>
        <v>91.419999999999987</v>
      </c>
      <c r="K199" s="133"/>
      <c r="L199" s="133"/>
      <c r="M199" s="175"/>
    </row>
    <row r="200" spans="1:13" ht="15.75" x14ac:dyDescent="0.25">
      <c r="A200" s="293">
        <v>1995</v>
      </c>
      <c r="B200" s="295">
        <v>3</v>
      </c>
      <c r="C200" s="310">
        <v>1052.0999999999999</v>
      </c>
      <c r="D200" s="317">
        <f>(1-$D$195)*C200+$D$195*(C199+E199)</f>
        <v>967.3599999999999</v>
      </c>
      <c r="E200" s="234">
        <f>(1-$E$195)*(C200-D199)+$E$195*E199</f>
        <v>184.41499999999991</v>
      </c>
      <c r="F200" s="133"/>
      <c r="G200" s="133"/>
      <c r="H200" s="175"/>
      <c r="I200" s="195">
        <f t="shared" ref="I200:I221" si="31">(1-$I$195)*C200+$I$195*(C199+J199)</f>
        <v>939.70999999999992</v>
      </c>
      <c r="J200" s="133">
        <f t="shared" ref="J200:J221" si="32">(1-$J$195)*(C200-I199)+$J$195*J199</f>
        <v>187.49799999999999</v>
      </c>
      <c r="K200" s="133"/>
      <c r="L200" s="133"/>
      <c r="M200" s="175"/>
    </row>
    <row r="201" spans="1:13" ht="15.75" x14ac:dyDescent="0.25">
      <c r="A201" s="293">
        <v>1996</v>
      </c>
      <c r="B201" s="295">
        <v>4</v>
      </c>
      <c r="C201" s="310">
        <v>1350.4</v>
      </c>
      <c r="D201" s="317">
        <f t="shared" ref="D201:D221" si="33">(1-$D$195)*C201+$D$195*(C200+E200)</f>
        <v>1304.846</v>
      </c>
      <c r="E201" s="234">
        <f t="shared" ref="E201:E216" si="34">(1-$E$195)*(C201-D200)+$E$195*E200</f>
        <v>283.72750000000008</v>
      </c>
      <c r="F201" s="133"/>
      <c r="G201" s="133"/>
      <c r="H201" s="175"/>
      <c r="I201" s="195">
        <f t="shared" si="31"/>
        <v>1294.999</v>
      </c>
      <c r="J201" s="133">
        <f t="shared" si="32"/>
        <v>321.41320000000007</v>
      </c>
      <c r="K201" s="133"/>
      <c r="L201" s="133"/>
      <c r="M201" s="175"/>
    </row>
    <row r="202" spans="1:13" ht="15.75" x14ac:dyDescent="0.25">
      <c r="A202" s="293">
        <v>1997</v>
      </c>
      <c r="B202" s="295">
        <v>5</v>
      </c>
      <c r="C202" s="310">
        <v>1445.5</v>
      </c>
      <c r="D202" s="317">
        <f t="shared" si="33"/>
        <v>1520.951</v>
      </c>
      <c r="E202" s="234">
        <f t="shared" si="34"/>
        <v>212.19075000000004</v>
      </c>
      <c r="F202" s="133"/>
      <c r="G202" s="133"/>
      <c r="H202" s="175"/>
      <c r="I202" s="195">
        <f t="shared" si="31"/>
        <v>1558.6566</v>
      </c>
      <c r="J202" s="133">
        <f t="shared" si="32"/>
        <v>218.86588</v>
      </c>
      <c r="K202" s="133"/>
      <c r="L202" s="133"/>
      <c r="M202" s="175"/>
    </row>
    <row r="203" spans="1:13" ht="15.75" x14ac:dyDescent="0.25">
      <c r="A203" s="293">
        <v>1998</v>
      </c>
      <c r="B203" s="295">
        <v>6</v>
      </c>
      <c r="C203" s="310">
        <v>1468.7</v>
      </c>
      <c r="D203" s="317">
        <f t="shared" si="33"/>
        <v>1544.2963</v>
      </c>
      <c r="E203" s="234">
        <f t="shared" si="34"/>
        <v>79.96987500000003</v>
      </c>
      <c r="F203" s="133"/>
      <c r="G203" s="133"/>
      <c r="H203" s="175"/>
      <c r="I203" s="195">
        <f t="shared" si="31"/>
        <v>1566.5329400000001</v>
      </c>
      <c r="J203" s="133">
        <f t="shared" si="32"/>
        <v>33.572392000000029</v>
      </c>
      <c r="K203" s="133"/>
      <c r="L203" s="133"/>
      <c r="M203" s="175"/>
    </row>
    <row r="204" spans="1:13" ht="15.75" x14ac:dyDescent="0.25">
      <c r="A204" s="296">
        <v>1999</v>
      </c>
      <c r="B204" s="128">
        <v>7</v>
      </c>
      <c r="C204" s="311">
        <v>1130.0999999999999</v>
      </c>
      <c r="D204" s="317">
        <f t="shared" si="33"/>
        <v>1297.5279500000001</v>
      </c>
      <c r="E204" s="234">
        <f>(1-$E$195)*(C204-D203)+$E$195*E203</f>
        <v>-167.11321250000003</v>
      </c>
      <c r="F204" s="133"/>
      <c r="G204" s="133"/>
      <c r="H204" s="175"/>
      <c r="I204" s="195">
        <f t="shared" si="31"/>
        <v>1316.1861960000001</v>
      </c>
      <c r="J204" s="133">
        <f t="shared" si="32"/>
        <v>-248.43080720000009</v>
      </c>
      <c r="K204" s="133"/>
      <c r="L204" s="133"/>
      <c r="M204" s="175"/>
    </row>
    <row r="205" spans="1:13" ht="15.75" x14ac:dyDescent="0.25">
      <c r="A205" s="293">
        <v>2000</v>
      </c>
      <c r="B205" s="295">
        <v>8</v>
      </c>
      <c r="C205" s="310">
        <v>1229</v>
      </c>
      <c r="D205" s="317">
        <f t="shared" si="33"/>
        <v>1122.594715</v>
      </c>
      <c r="E205" s="234">
        <f t="shared" si="34"/>
        <v>-117.82058125000009</v>
      </c>
      <c r="F205" s="133"/>
      <c r="G205" s="133"/>
      <c r="H205" s="175"/>
      <c r="I205" s="195">
        <f t="shared" si="31"/>
        <v>1055.3345964</v>
      </c>
      <c r="J205" s="133">
        <f t="shared" si="32"/>
        <v>-151.68404048000011</v>
      </c>
      <c r="K205" s="133"/>
      <c r="L205" s="133"/>
      <c r="M205" s="175"/>
    </row>
    <row r="206" spans="1:13" ht="15.75" x14ac:dyDescent="0.25">
      <c r="A206" s="293">
        <v>2001</v>
      </c>
      <c r="B206" s="295">
        <v>9</v>
      </c>
      <c r="C206" s="310">
        <v>1490.9</v>
      </c>
      <c r="D206" s="317">
        <f t="shared" si="33"/>
        <v>1339.0117675000001</v>
      </c>
      <c r="E206" s="234">
        <f t="shared" si="34"/>
        <v>125.24235187500003</v>
      </c>
      <c r="F206" s="133"/>
      <c r="G206" s="133"/>
      <c r="H206" s="175"/>
      <c r="I206" s="195">
        <f t="shared" si="31"/>
        <v>1284.10797976</v>
      </c>
      <c r="J206" s="133">
        <f t="shared" si="32"/>
        <v>200.66562596799997</v>
      </c>
      <c r="K206" s="133"/>
      <c r="L206" s="133"/>
      <c r="M206" s="175"/>
    </row>
    <row r="207" spans="1:13" ht="15.75" x14ac:dyDescent="0.25">
      <c r="A207" s="293">
        <v>2002</v>
      </c>
      <c r="B207" s="295">
        <v>10</v>
      </c>
      <c r="C207" s="310">
        <v>1658</v>
      </c>
      <c r="D207" s="317">
        <f t="shared" si="33"/>
        <v>1641.25694075</v>
      </c>
      <c r="E207" s="234">
        <f t="shared" si="34"/>
        <v>222.11529218749996</v>
      </c>
      <c r="F207" s="133"/>
      <c r="G207" s="133"/>
      <c r="H207" s="175"/>
      <c r="I207" s="195">
        <f t="shared" si="31"/>
        <v>1674.782812984</v>
      </c>
      <c r="J207" s="133">
        <f t="shared" si="32"/>
        <v>304.60146253119996</v>
      </c>
      <c r="K207" s="133"/>
      <c r="L207" s="133"/>
      <c r="M207" s="175"/>
    </row>
    <row r="208" spans="1:13" ht="15.75" x14ac:dyDescent="0.25">
      <c r="A208" s="293">
        <v>2003</v>
      </c>
      <c r="B208" s="295">
        <v>11</v>
      </c>
      <c r="C208" s="310">
        <v>2068.1</v>
      </c>
      <c r="D208" s="317">
        <f t="shared" si="33"/>
        <v>1992.906116875</v>
      </c>
      <c r="E208" s="234">
        <f t="shared" si="34"/>
        <v>324.47917571874996</v>
      </c>
      <c r="F208" s="133"/>
      <c r="G208" s="133"/>
      <c r="H208" s="175"/>
      <c r="I208" s="195">
        <f t="shared" si="31"/>
        <v>2015.3507312656</v>
      </c>
      <c r="J208" s="133">
        <f t="shared" si="32"/>
        <v>357.83089722207995</v>
      </c>
      <c r="K208" s="133"/>
      <c r="L208" s="133"/>
      <c r="M208" s="175"/>
    </row>
    <row r="209" spans="1:13" ht="15.75" x14ac:dyDescent="0.25">
      <c r="A209" s="293">
        <v>2004</v>
      </c>
      <c r="B209" s="295">
        <v>12</v>
      </c>
      <c r="C209" s="310">
        <v>2874.2</v>
      </c>
      <c r="D209" s="317">
        <f t="shared" si="33"/>
        <v>2681.5516702874997</v>
      </c>
      <c r="E209" s="234">
        <f t="shared" si="34"/>
        <v>602.88652942187491</v>
      </c>
      <c r="F209" s="133"/>
      <c r="G209" s="133"/>
      <c r="H209" s="175"/>
      <c r="I209" s="195">
        <f t="shared" si="31"/>
        <v>2650.0654486110398</v>
      </c>
      <c r="J209" s="133">
        <f t="shared" si="32"/>
        <v>658.4419201294719</v>
      </c>
      <c r="K209" s="133"/>
      <c r="L209" s="133"/>
      <c r="M209" s="175"/>
    </row>
    <row r="210" spans="1:13" ht="15.75" x14ac:dyDescent="0.25">
      <c r="A210" s="293">
        <v>2005</v>
      </c>
      <c r="B210" s="295">
        <v>13</v>
      </c>
      <c r="C210" s="310">
        <v>3771.3</v>
      </c>
      <c r="D210" s="317">
        <f t="shared" si="33"/>
        <v>3653.6146117687504</v>
      </c>
      <c r="E210" s="234">
        <f t="shared" si="34"/>
        <v>846.31742956718767</v>
      </c>
      <c r="F210" s="133"/>
      <c r="G210" s="133"/>
      <c r="H210" s="175"/>
      <c r="I210" s="195">
        <f t="shared" si="31"/>
        <v>3651.9709600647357</v>
      </c>
      <c r="J210" s="133">
        <f t="shared" si="32"/>
        <v>936.11749888516499</v>
      </c>
      <c r="K210" s="133"/>
      <c r="L210" s="133"/>
      <c r="M210" s="175"/>
    </row>
    <row r="211" spans="1:13" ht="15.75" x14ac:dyDescent="0.25">
      <c r="A211" s="293">
        <v>2006</v>
      </c>
      <c r="B211" s="295">
        <v>14</v>
      </c>
      <c r="C211" s="310">
        <v>5291.6</v>
      </c>
      <c r="D211" s="317">
        <f t="shared" si="33"/>
        <v>5022.0069718268751</v>
      </c>
      <c r="E211" s="234">
        <f t="shared" si="34"/>
        <v>1242.1514088992189</v>
      </c>
      <c r="F211" s="133"/>
      <c r="G211" s="133"/>
      <c r="H211" s="175"/>
      <c r="I211" s="195">
        <f t="shared" si="31"/>
        <v>4999.5087494425825</v>
      </c>
      <c r="J211" s="133">
        <f t="shared" si="32"/>
        <v>1358.2244235152248</v>
      </c>
      <c r="K211" s="133"/>
      <c r="L211" s="133"/>
      <c r="M211" s="175"/>
    </row>
    <row r="212" spans="1:13" ht="15.75" x14ac:dyDescent="0.25">
      <c r="A212" s="293">
        <v>2007</v>
      </c>
      <c r="B212" s="295">
        <v>15</v>
      </c>
      <c r="C212" s="310">
        <v>6771.6</v>
      </c>
      <c r="D212" s="317">
        <f t="shared" si="33"/>
        <v>6676.4605635596881</v>
      </c>
      <c r="E212" s="234">
        <f t="shared" si="34"/>
        <v>1495.8722185361721</v>
      </c>
      <c r="F212" s="133"/>
      <c r="G212" s="133"/>
      <c r="H212" s="175"/>
      <c r="I212" s="195">
        <f t="shared" si="31"/>
        <v>6710.7122117576127</v>
      </c>
      <c r="J212" s="133">
        <f t="shared" si="32"/>
        <v>1606.5445197405406</v>
      </c>
      <c r="K212" s="133"/>
      <c r="L212" s="133"/>
      <c r="M212" s="175"/>
    </row>
    <row r="213" spans="1:13" ht="15.75" x14ac:dyDescent="0.25">
      <c r="A213" s="293">
        <v>2008</v>
      </c>
      <c r="B213" s="295">
        <v>16</v>
      </c>
      <c r="C213" s="310">
        <v>8513.5</v>
      </c>
      <c r="D213" s="317">
        <f t="shared" si="33"/>
        <v>8415.0888874144694</v>
      </c>
      <c r="E213" s="234">
        <f t="shared" si="34"/>
        <v>1666.455827488242</v>
      </c>
      <c r="F213" s="133"/>
      <c r="G213" s="133"/>
      <c r="H213" s="175"/>
      <c r="I213" s="195">
        <f t="shared" si="31"/>
        <v>8445.8222598702705</v>
      </c>
      <c r="J213" s="133">
        <f t="shared" si="32"/>
        <v>1724.2904808416488</v>
      </c>
      <c r="K213" s="133"/>
      <c r="L213" s="133"/>
      <c r="M213" s="175"/>
    </row>
    <row r="214" spans="1:13" ht="15.75" x14ac:dyDescent="0.25">
      <c r="A214" s="296">
        <v>2009</v>
      </c>
      <c r="B214" s="128">
        <v>17</v>
      </c>
      <c r="C214" s="311">
        <v>7164.8</v>
      </c>
      <c r="D214" s="317">
        <f t="shared" si="33"/>
        <v>8370.8623309952964</v>
      </c>
      <c r="E214" s="234">
        <f t="shared" si="34"/>
        <v>208.08347003688641</v>
      </c>
      <c r="F214" s="133"/>
      <c r="G214" s="133"/>
      <c r="H214" s="175"/>
      <c r="I214" s="195">
        <f t="shared" si="31"/>
        <v>8701.2952404208245</v>
      </c>
      <c r="J214" s="133">
        <f t="shared" si="32"/>
        <v>-78.897163585502653</v>
      </c>
      <c r="K214" s="133"/>
      <c r="L214" s="133"/>
      <c r="M214" s="175"/>
    </row>
    <row r="215" spans="1:13" ht="15.75" x14ac:dyDescent="0.25">
      <c r="A215" s="293">
        <v>2010</v>
      </c>
      <c r="B215" s="295">
        <v>18</v>
      </c>
      <c r="C215" s="310">
        <v>9070</v>
      </c>
      <c r="D215" s="317">
        <f t="shared" si="33"/>
        <v>8391.1533880147545</v>
      </c>
      <c r="E215" s="234">
        <f t="shared" si="34"/>
        <v>453.61056952079502</v>
      </c>
      <c r="F215" s="133"/>
      <c r="G215" s="133"/>
      <c r="H215" s="175"/>
      <c r="I215" s="195">
        <f t="shared" si="31"/>
        <v>8077.9514182072489</v>
      </c>
      <c r="J215" s="133">
        <f t="shared" si="32"/>
        <v>189.66399031330423</v>
      </c>
      <c r="K215" s="133"/>
      <c r="L215" s="133"/>
      <c r="M215" s="175"/>
    </row>
    <row r="216" spans="1:13" ht="15.75" x14ac:dyDescent="0.25">
      <c r="A216" s="293">
        <v>2011</v>
      </c>
      <c r="B216" s="295">
        <v>19</v>
      </c>
      <c r="C216" s="310">
        <v>11634.5</v>
      </c>
      <c r="D216" s="317">
        <f t="shared" si="33"/>
        <v>10790.144227808318</v>
      </c>
      <c r="E216" s="234">
        <f t="shared" si="34"/>
        <v>1848.4785907530204</v>
      </c>
      <c r="F216" s="133"/>
      <c r="G216" s="133"/>
      <c r="H216" s="175"/>
      <c r="I216" s="195">
        <f t="shared" si="31"/>
        <v>10447.081995156652</v>
      </c>
      <c r="J216" s="133">
        <f t="shared" si="32"/>
        <v>2209.7947452009721</v>
      </c>
      <c r="K216" s="133"/>
      <c r="L216" s="133"/>
      <c r="M216" s="175"/>
    </row>
    <row r="217" spans="1:13" ht="15.75" x14ac:dyDescent="0.25">
      <c r="A217" s="293">
        <v>2012</v>
      </c>
      <c r="B217" s="295">
        <v>20</v>
      </c>
      <c r="C217" s="310">
        <v>12387.4</v>
      </c>
      <c r="D217" s="317">
        <f t="shared" si="33"/>
        <v>12825.631436301208</v>
      </c>
      <c r="E217" s="234">
        <f t="shared" ref="E217:E220" si="35">(1-$E$195)*(C217-D216)+$E$195*E216</f>
        <v>1722.8671814723511</v>
      </c>
      <c r="F217" s="236">
        <f>D216+E216</f>
        <v>12638.622818561338</v>
      </c>
      <c r="G217" s="276">
        <f>F217-C217</f>
        <v>251.2228185613385</v>
      </c>
      <c r="H217" s="318">
        <f>G217</f>
        <v>251.2228185613385</v>
      </c>
      <c r="I217" s="195">
        <f t="shared" si="31"/>
        <v>13115.847372600485</v>
      </c>
      <c r="J217" s="133">
        <f t="shared" si="32"/>
        <v>2048.1087009863977</v>
      </c>
      <c r="K217" s="133">
        <f>I217+J217</f>
        <v>15163.956073586884</v>
      </c>
      <c r="L217" s="276">
        <f>K217-C217</f>
        <v>2776.5560735868839</v>
      </c>
      <c r="M217" s="175">
        <f>ABS(L217)</f>
        <v>2776.5560735868839</v>
      </c>
    </row>
    <row r="218" spans="1:13" ht="15.75" x14ac:dyDescent="0.25">
      <c r="A218" s="293">
        <v>2013</v>
      </c>
      <c r="B218" s="295">
        <v>21</v>
      </c>
      <c r="C218" s="310">
        <v>13890.8</v>
      </c>
      <c r="D218" s="317">
        <f t="shared" si="33"/>
        <v>13978.586872588941</v>
      </c>
      <c r="E218" s="234">
        <f t="shared" si="35"/>
        <v>1394.0178725855712</v>
      </c>
      <c r="F218" s="236">
        <f>D217+E217</f>
        <v>14548.498617773559</v>
      </c>
      <c r="G218" s="276">
        <f t="shared" ref="G218:G221" si="36">F218-C218</f>
        <v>657.69861777355982</v>
      </c>
      <c r="H218" s="318">
        <f t="shared" ref="H218:H221" si="37">G218</f>
        <v>657.69861777355982</v>
      </c>
      <c r="I218" s="195">
        <f t="shared" si="31"/>
        <v>14163.154350493198</v>
      </c>
      <c r="J218" s="133">
        <f t="shared" si="32"/>
        <v>1284.2150568342677</v>
      </c>
      <c r="K218" s="133">
        <f t="shared" ref="K218:K221" si="38">I218+J218</f>
        <v>15447.369407327466</v>
      </c>
      <c r="L218" s="276">
        <f t="shared" ref="L218:L221" si="39">K218-C218</f>
        <v>1556.5694073274663</v>
      </c>
      <c r="M218" s="175">
        <f t="shared" ref="M218:M221" si="40">ABS(L218)</f>
        <v>1556.5694073274663</v>
      </c>
    </row>
    <row r="219" spans="1:13" ht="15.75" x14ac:dyDescent="0.25">
      <c r="A219" s="296">
        <v>2014</v>
      </c>
      <c r="B219" s="128">
        <v>22</v>
      </c>
      <c r="C219" s="311">
        <v>12806.7</v>
      </c>
      <c r="D219" s="317">
        <f t="shared" si="33"/>
        <v>13797.947149034229</v>
      </c>
      <c r="E219" s="234">
        <f t="shared" si="35"/>
        <v>111.06549999831532</v>
      </c>
      <c r="F219" s="236">
        <f t="shared" ref="F219:F221" si="41">D218+E218</f>
        <v>15372.604745174513</v>
      </c>
      <c r="G219" s="276">
        <f t="shared" si="36"/>
        <v>2565.9047451745118</v>
      </c>
      <c r="H219" s="318">
        <f t="shared" si="37"/>
        <v>2565.9047451745118</v>
      </c>
      <c r="I219" s="195">
        <f t="shared" si="31"/>
        <v>13990.857528417135</v>
      </c>
      <c r="J219" s="133">
        <f t="shared" si="32"/>
        <v>-300.18658756221112</v>
      </c>
      <c r="K219" s="133">
        <f t="shared" si="38"/>
        <v>13690.670940854923</v>
      </c>
      <c r="L219" s="276">
        <f t="shared" si="39"/>
        <v>883.97094085492245</v>
      </c>
      <c r="M219" s="175">
        <f t="shared" si="40"/>
        <v>883.97094085492245</v>
      </c>
    </row>
    <row r="220" spans="1:13" ht="15.75" x14ac:dyDescent="0.25">
      <c r="A220" s="296">
        <v>2015</v>
      </c>
      <c r="B220" s="128">
        <v>23</v>
      </c>
      <c r="C220" s="311">
        <v>10509.9</v>
      </c>
      <c r="D220" s="317">
        <f t="shared" si="33"/>
        <v>11473.046199999328</v>
      </c>
      <c r="E220" s="234">
        <f t="shared" si="35"/>
        <v>-1588.4908245179572</v>
      </c>
      <c r="F220" s="236">
        <f t="shared" si="41"/>
        <v>13909.012649032546</v>
      </c>
      <c r="G220" s="276">
        <f t="shared" si="36"/>
        <v>3399.112649032546</v>
      </c>
      <c r="H220" s="318">
        <f t="shared" si="37"/>
        <v>3399.112649032546</v>
      </c>
      <c r="I220" s="195">
        <f t="shared" si="31"/>
        <v>11508.206706218894</v>
      </c>
      <c r="J220" s="133">
        <f t="shared" si="32"/>
        <v>-2208.6491520751656</v>
      </c>
      <c r="K220" s="133">
        <f t="shared" si="38"/>
        <v>9299.5575541437283</v>
      </c>
      <c r="L220" s="276">
        <f t="shared" si="39"/>
        <v>-1210.3424458562713</v>
      </c>
      <c r="M220" s="175">
        <f t="shared" si="40"/>
        <v>1210.3424458562713</v>
      </c>
    </row>
    <row r="221" spans="1:13" ht="16.5" thickBot="1" x14ac:dyDescent="0.3">
      <c r="A221" s="296">
        <v>2016</v>
      </c>
      <c r="B221" s="128">
        <v>24</v>
      </c>
      <c r="C221" s="311">
        <v>7714.8</v>
      </c>
      <c r="D221" s="319">
        <f t="shared" si="33"/>
        <v>8197.4436701928171</v>
      </c>
      <c r="E221" s="320">
        <f>(1-$E$195)*(C221-D220)+$E$195*E220</f>
        <v>-2673.3685122586421</v>
      </c>
      <c r="F221" s="321">
        <f t="shared" si="41"/>
        <v>9884.55537548137</v>
      </c>
      <c r="G221" s="281">
        <f t="shared" si="36"/>
        <v>2169.7553754813698</v>
      </c>
      <c r="H221" s="322">
        <f t="shared" si="37"/>
        <v>2169.7553754813698</v>
      </c>
      <c r="I221" s="187">
        <f t="shared" si="31"/>
        <v>8008.0254239624173</v>
      </c>
      <c r="J221" s="176">
        <f t="shared" si="32"/>
        <v>-3159.5036845614027</v>
      </c>
      <c r="K221" s="176">
        <f t="shared" si="38"/>
        <v>4848.5217394010142</v>
      </c>
      <c r="L221" s="281">
        <f t="shared" si="39"/>
        <v>-2866.278260598986</v>
      </c>
      <c r="M221" s="177">
        <f t="shared" si="40"/>
        <v>2866.278260598986</v>
      </c>
    </row>
    <row r="222" spans="1:13" x14ac:dyDescent="0.25">
      <c r="E222" t="s">
        <v>610</v>
      </c>
      <c r="H222" s="306">
        <f>AVERAGE(H217:H221)</f>
        <v>1808.7388412046653</v>
      </c>
      <c r="M222" s="250">
        <f>AVERAGE(M217:M221)</f>
        <v>1858.7434256449058</v>
      </c>
    </row>
    <row r="223" spans="1:13" x14ac:dyDescent="0.25">
      <c r="B223" t="s">
        <v>611</v>
      </c>
    </row>
    <row r="224" spans="1:13" x14ac:dyDescent="0.25">
      <c r="E224" t="s">
        <v>612</v>
      </c>
      <c r="G224" s="341">
        <f>D221+E221</f>
        <v>5524.075157934175</v>
      </c>
    </row>
    <row r="226" spans="1:5" x14ac:dyDescent="0.25">
      <c r="A226" s="141" t="s">
        <v>613</v>
      </c>
    </row>
    <row r="228" spans="1:5" s="309" customFormat="1" ht="90" x14ac:dyDescent="0.25">
      <c r="A228" s="308" t="s">
        <v>623</v>
      </c>
      <c r="B228" s="308" t="s">
        <v>614</v>
      </c>
      <c r="C228" s="308" t="s">
        <v>621</v>
      </c>
      <c r="D228" s="308" t="s">
        <v>620</v>
      </c>
      <c r="E228" s="308" t="s">
        <v>622</v>
      </c>
    </row>
    <row r="229" spans="1:5" s="287" customFormat="1" ht="75" x14ac:dyDescent="0.25">
      <c r="A229" s="284">
        <v>1</v>
      </c>
      <c r="B229" s="14" t="s">
        <v>615</v>
      </c>
      <c r="C229" s="340">
        <f>K87</f>
        <v>11002.329850020922</v>
      </c>
      <c r="D229" s="284">
        <v>0.2</v>
      </c>
      <c r="E229" s="14"/>
    </row>
    <row r="230" spans="1:5" s="287" customFormat="1" ht="75" x14ac:dyDescent="0.25">
      <c r="A230" s="284">
        <v>2</v>
      </c>
      <c r="B230" s="14" t="s">
        <v>616</v>
      </c>
      <c r="C230" s="340">
        <f>D154</f>
        <v>8371.5322911621515</v>
      </c>
      <c r="D230" s="284">
        <v>0.2</v>
      </c>
      <c r="E230" s="14"/>
    </row>
    <row r="231" spans="1:5" s="287" customFormat="1" ht="60" x14ac:dyDescent="0.25">
      <c r="A231" s="284">
        <v>3</v>
      </c>
      <c r="B231" s="14" t="s">
        <v>617</v>
      </c>
      <c r="C231" s="340">
        <f>I93</f>
        <v>8019.9565217391309</v>
      </c>
      <c r="D231" s="284">
        <v>0.2</v>
      </c>
      <c r="E231" s="14"/>
    </row>
    <row r="232" spans="1:5" s="287" customFormat="1" ht="45" x14ac:dyDescent="0.25">
      <c r="A232" s="284">
        <v>4</v>
      </c>
      <c r="B232" s="14" t="s">
        <v>618</v>
      </c>
      <c r="C232" s="340">
        <f>D188</f>
        <v>9112.35</v>
      </c>
      <c r="D232" s="284">
        <v>0.2</v>
      </c>
      <c r="E232" s="14"/>
    </row>
    <row r="233" spans="1:5" s="287" customFormat="1" x14ac:dyDescent="0.25">
      <c r="A233" s="284">
        <v>5</v>
      </c>
      <c r="B233" s="14" t="s">
        <v>619</v>
      </c>
      <c r="C233" s="340">
        <f>G224</f>
        <v>5524.075157934175</v>
      </c>
      <c r="D233" s="284">
        <v>0.2</v>
      </c>
      <c r="E233" s="14"/>
    </row>
    <row r="234" spans="1:5" s="287" customFormat="1" ht="27.75" customHeight="1" x14ac:dyDescent="0.25">
      <c r="A234" s="481" t="s">
        <v>624</v>
      </c>
      <c r="B234" s="481"/>
      <c r="C234" s="339">
        <f>AVERAGE(C229:C233)</f>
        <v>8406.0487641712771</v>
      </c>
      <c r="D234" s="332"/>
      <c r="E234" s="332"/>
    </row>
  </sheetData>
  <mergeCells count="31">
    <mergeCell ref="A3:A7"/>
    <mergeCell ref="B3:B7"/>
    <mergeCell ref="C3:C7"/>
    <mergeCell ref="E20:Q20"/>
    <mergeCell ref="E24:Q25"/>
    <mergeCell ref="E22:Q22"/>
    <mergeCell ref="D125:R125"/>
    <mergeCell ref="A36:A40"/>
    <mergeCell ref="B36:B40"/>
    <mergeCell ref="C36:C40"/>
    <mergeCell ref="E18:Q18"/>
    <mergeCell ref="E28:Q29"/>
    <mergeCell ref="A35:N35"/>
    <mergeCell ref="D36:D40"/>
    <mergeCell ref="E30:Q31"/>
    <mergeCell ref="A234:B234"/>
    <mergeCell ref="A69:H69"/>
    <mergeCell ref="A159:A163"/>
    <mergeCell ref="B159:B163"/>
    <mergeCell ref="C159:C163"/>
    <mergeCell ref="D159:R159"/>
    <mergeCell ref="A193:A197"/>
    <mergeCell ref="B193:B197"/>
    <mergeCell ref="C193:C197"/>
    <mergeCell ref="A92:A96"/>
    <mergeCell ref="B92:B96"/>
    <mergeCell ref="C92:C96"/>
    <mergeCell ref="D92:D96"/>
    <mergeCell ref="A125:A129"/>
    <mergeCell ref="B125:B129"/>
    <mergeCell ref="C125:C129"/>
  </mergeCells>
  <pageMargins left="0.31496062992125984" right="0.31496062992125984" top="0.35433070866141736" bottom="0.35433070866141736" header="0.31496062992125984" footer="0.31496062992125984"/>
  <pageSetup paperSize="9" scale="50" fitToHeight="5" orientation="landscape" verticalDpi="0" r:id="rId1"/>
  <rowBreaks count="3" manualBreakCount="3">
    <brk id="65" max="16383" man="1"/>
    <brk id="121" max="16383" man="1"/>
    <brk id="190" max="16383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4"/>
  <sheetViews>
    <sheetView view="pageBreakPreview" topLeftCell="A79" zoomScale="60" zoomScaleNormal="100" workbookViewId="0">
      <selection activeCell="H111" sqref="H111"/>
    </sheetView>
  </sheetViews>
  <sheetFormatPr defaultRowHeight="15" x14ac:dyDescent="0.25"/>
  <cols>
    <col min="1" max="1" width="17.5703125" customWidth="1"/>
    <col min="2" max="2" width="19.5703125" customWidth="1"/>
    <col min="4" max="4" width="18.28515625" customWidth="1"/>
    <col min="5" max="5" width="15.5703125" customWidth="1"/>
    <col min="6" max="6" width="13.28515625" customWidth="1"/>
    <col min="7" max="7" width="18.140625" customWidth="1"/>
    <col min="8" max="8" width="13.42578125" customWidth="1"/>
    <col min="9" max="9" width="12.140625" customWidth="1"/>
  </cols>
  <sheetData>
    <row r="1" spans="1:8" x14ac:dyDescent="0.25">
      <c r="A1" s="141" t="s">
        <v>685</v>
      </c>
    </row>
    <row r="2" spans="1:8" x14ac:dyDescent="0.25">
      <c r="A2" s="141"/>
    </row>
    <row r="3" spans="1:8" s="115" customFormat="1" ht="60" x14ac:dyDescent="0.25">
      <c r="A3" s="344" t="s">
        <v>626</v>
      </c>
      <c r="B3" s="344" t="s">
        <v>422</v>
      </c>
      <c r="C3" s="344" t="s">
        <v>627</v>
      </c>
      <c r="D3" s="344" t="s">
        <v>650</v>
      </c>
      <c r="E3" s="344" t="s">
        <v>640</v>
      </c>
      <c r="F3" s="344" t="s">
        <v>641</v>
      </c>
      <c r="G3" s="344" t="s">
        <v>643</v>
      </c>
      <c r="H3" s="344" t="s">
        <v>655</v>
      </c>
    </row>
    <row r="4" spans="1:8" x14ac:dyDescent="0.25">
      <c r="A4" s="133" t="s">
        <v>628</v>
      </c>
      <c r="B4" s="133">
        <v>2005</v>
      </c>
      <c r="C4" s="133">
        <v>1</v>
      </c>
      <c r="D4" s="133">
        <v>1282</v>
      </c>
      <c r="E4" s="133">
        <v>199.8</v>
      </c>
      <c r="F4" s="133">
        <v>905.8</v>
      </c>
      <c r="G4" s="448" t="s">
        <v>644</v>
      </c>
      <c r="H4" s="361">
        <f xml:space="preserve"> 13.896*E4 - 0.6393*F4 - 880.48407</f>
        <v>1316.8587900000007</v>
      </c>
    </row>
    <row r="5" spans="1:8" x14ac:dyDescent="0.25">
      <c r="A5" s="133" t="s">
        <v>629</v>
      </c>
      <c r="B5" s="133">
        <v>2005</v>
      </c>
      <c r="C5" s="133">
        <v>2</v>
      </c>
      <c r="D5" s="133">
        <v>1292.7</v>
      </c>
      <c r="E5" s="133">
        <v>211.5</v>
      </c>
      <c r="F5" s="133">
        <v>902.5</v>
      </c>
      <c r="G5" s="448"/>
      <c r="H5" s="361">
        <f t="shared" ref="H5:H33" si="0" xml:space="preserve"> 13.896*E5 - 0.6393*F5 - 880.48407</f>
        <v>1481.5516800000005</v>
      </c>
    </row>
    <row r="6" spans="1:8" x14ac:dyDescent="0.25">
      <c r="A6" s="133" t="s">
        <v>630</v>
      </c>
      <c r="B6" s="133">
        <v>2005</v>
      </c>
      <c r="C6" s="133">
        <v>3</v>
      </c>
      <c r="D6" s="133">
        <v>1295</v>
      </c>
      <c r="E6" s="133">
        <v>206.8</v>
      </c>
      <c r="F6" s="133">
        <v>903</v>
      </c>
      <c r="G6" s="448"/>
      <c r="H6" s="361">
        <f t="shared" si="0"/>
        <v>1415.9208300000005</v>
      </c>
    </row>
    <row r="7" spans="1:8" x14ac:dyDescent="0.25">
      <c r="A7" s="133" t="s">
        <v>631</v>
      </c>
      <c r="B7" s="133">
        <v>2005</v>
      </c>
      <c r="C7" s="133">
        <v>4</v>
      </c>
      <c r="D7" s="133">
        <v>1392.6</v>
      </c>
      <c r="E7" s="133">
        <v>225.7</v>
      </c>
      <c r="F7" s="133">
        <v>889.8</v>
      </c>
      <c r="G7" s="448"/>
      <c r="H7" s="361">
        <f t="shared" si="0"/>
        <v>1686.9939900000004</v>
      </c>
    </row>
    <row r="8" spans="1:8" x14ac:dyDescent="0.25">
      <c r="A8" s="133" t="s">
        <v>632</v>
      </c>
      <c r="B8" s="133">
        <v>2005</v>
      </c>
      <c r="C8" s="133">
        <v>5</v>
      </c>
      <c r="D8" s="133">
        <v>1647.3</v>
      </c>
      <c r="E8" s="133">
        <v>219</v>
      </c>
      <c r="F8" s="133">
        <v>889.8</v>
      </c>
      <c r="G8" s="448"/>
      <c r="H8" s="361">
        <f t="shared" si="0"/>
        <v>1593.8907900000004</v>
      </c>
    </row>
    <row r="9" spans="1:8" x14ac:dyDescent="0.25">
      <c r="A9" s="133" t="s">
        <v>633</v>
      </c>
      <c r="B9" s="133">
        <v>2005</v>
      </c>
      <c r="C9" s="133">
        <v>6</v>
      </c>
      <c r="D9" s="133">
        <v>1672.9</v>
      </c>
      <c r="E9" s="133">
        <v>235.7</v>
      </c>
      <c r="F9" s="133">
        <v>892.8</v>
      </c>
      <c r="G9" s="448"/>
      <c r="H9" s="361">
        <f t="shared" si="0"/>
        <v>1824.0360900000001</v>
      </c>
    </row>
    <row r="10" spans="1:8" x14ac:dyDescent="0.25">
      <c r="A10" s="225" t="s">
        <v>634</v>
      </c>
      <c r="B10" s="225">
        <v>2005</v>
      </c>
      <c r="C10" s="225">
        <v>7</v>
      </c>
      <c r="D10" s="225">
        <v>1660.5</v>
      </c>
      <c r="E10" s="133">
        <v>231.3</v>
      </c>
      <c r="F10" s="133">
        <v>888.3</v>
      </c>
      <c r="G10" s="342" t="s">
        <v>645</v>
      </c>
      <c r="H10" s="361">
        <f t="shared" si="0"/>
        <v>1765.7705400000004</v>
      </c>
    </row>
    <row r="11" spans="1:8" x14ac:dyDescent="0.25">
      <c r="A11" s="133" t="s">
        <v>635</v>
      </c>
      <c r="B11" s="133">
        <v>2005</v>
      </c>
      <c r="C11" s="133">
        <v>8</v>
      </c>
      <c r="D11" s="133">
        <v>2011.7</v>
      </c>
      <c r="E11" s="133">
        <v>241.1</v>
      </c>
      <c r="F11" s="133">
        <v>875.8</v>
      </c>
      <c r="G11" s="448" t="s">
        <v>646</v>
      </c>
      <c r="H11" s="361">
        <f t="shared" si="0"/>
        <v>1909.9425900000001</v>
      </c>
    </row>
    <row r="12" spans="1:8" x14ac:dyDescent="0.25">
      <c r="A12" s="133" t="s">
        <v>636</v>
      </c>
      <c r="B12" s="133">
        <v>2005</v>
      </c>
      <c r="C12" s="133">
        <v>9</v>
      </c>
      <c r="D12" s="133">
        <v>2351.9</v>
      </c>
      <c r="E12" s="133">
        <v>238.1</v>
      </c>
      <c r="F12" s="133">
        <v>883.9</v>
      </c>
      <c r="G12" s="448"/>
      <c r="H12" s="361">
        <f t="shared" si="0"/>
        <v>1863.0762600000003</v>
      </c>
    </row>
    <row r="13" spans="1:8" x14ac:dyDescent="0.25">
      <c r="A13" s="166" t="s">
        <v>637</v>
      </c>
      <c r="B13" s="166">
        <v>2005</v>
      </c>
      <c r="C13" s="166">
        <v>10</v>
      </c>
      <c r="D13" s="166">
        <v>2513.9</v>
      </c>
      <c r="E13" s="133">
        <v>248.1</v>
      </c>
      <c r="F13" s="133">
        <v>875.1</v>
      </c>
      <c r="G13" s="448"/>
      <c r="H13" s="361">
        <f t="shared" si="0"/>
        <v>2007.6621</v>
      </c>
    </row>
    <row r="14" spans="1:8" x14ac:dyDescent="0.25">
      <c r="A14" s="222" t="s">
        <v>638</v>
      </c>
      <c r="B14" s="222">
        <v>2005</v>
      </c>
      <c r="C14" s="222">
        <v>11</v>
      </c>
      <c r="D14" s="222">
        <v>2468.5</v>
      </c>
      <c r="E14" s="133">
        <v>256.89999999999998</v>
      </c>
      <c r="F14" s="133">
        <v>871.6</v>
      </c>
      <c r="G14" s="342" t="s">
        <v>647</v>
      </c>
      <c r="H14" s="361">
        <f t="shared" si="0"/>
        <v>2132.1844500000002</v>
      </c>
    </row>
    <row r="15" spans="1:8" x14ac:dyDescent="0.25">
      <c r="A15" s="225" t="s">
        <v>639</v>
      </c>
      <c r="B15" s="225">
        <v>2005</v>
      </c>
      <c r="C15" s="225">
        <v>12</v>
      </c>
      <c r="D15" s="225">
        <v>2746.2</v>
      </c>
      <c r="E15" s="133">
        <v>251.9</v>
      </c>
      <c r="F15" s="133">
        <v>879.8</v>
      </c>
      <c r="G15" s="342" t="s">
        <v>646</v>
      </c>
      <c r="H15" s="361">
        <f t="shared" si="0"/>
        <v>2057.4621900000006</v>
      </c>
    </row>
    <row r="16" spans="1:8" x14ac:dyDescent="0.25">
      <c r="A16" s="225" t="s">
        <v>628</v>
      </c>
      <c r="B16" s="133">
        <v>2006</v>
      </c>
      <c r="C16" s="133">
        <v>13</v>
      </c>
      <c r="D16" s="225">
        <v>1942.7</v>
      </c>
      <c r="E16" s="133">
        <v>273.10000000000002</v>
      </c>
      <c r="F16" s="133">
        <v>868.2</v>
      </c>
      <c r="G16" s="448" t="s">
        <v>647</v>
      </c>
      <c r="H16" s="361">
        <f t="shared" si="0"/>
        <v>2359.4732700000009</v>
      </c>
    </row>
    <row r="17" spans="1:8" x14ac:dyDescent="0.25">
      <c r="A17" s="225" t="s">
        <v>629</v>
      </c>
      <c r="B17" s="225">
        <v>2006</v>
      </c>
      <c r="C17" s="225">
        <v>14</v>
      </c>
      <c r="D17" s="225">
        <v>1901.1</v>
      </c>
      <c r="E17" s="133">
        <v>264.5</v>
      </c>
      <c r="F17" s="133">
        <v>866.3</v>
      </c>
      <c r="G17" s="448"/>
      <c r="H17" s="361">
        <f t="shared" si="0"/>
        <v>2241.1823400000003</v>
      </c>
    </row>
    <row r="18" spans="1:8" x14ac:dyDescent="0.25">
      <c r="A18" s="133" t="s">
        <v>630</v>
      </c>
      <c r="B18" s="133">
        <v>2006</v>
      </c>
      <c r="C18" s="133">
        <v>15</v>
      </c>
      <c r="D18" s="133">
        <v>1971.6</v>
      </c>
      <c r="E18" s="133">
        <v>267.10000000000002</v>
      </c>
      <c r="F18" s="133">
        <v>862.1</v>
      </c>
      <c r="G18" s="448" t="s">
        <v>646</v>
      </c>
      <c r="H18" s="361">
        <f t="shared" si="0"/>
        <v>2279.9970000000003</v>
      </c>
    </row>
    <row r="19" spans="1:8" x14ac:dyDescent="0.25">
      <c r="A19" s="133" t="s">
        <v>631</v>
      </c>
      <c r="B19" s="133">
        <v>2006</v>
      </c>
      <c r="C19" s="133">
        <v>16</v>
      </c>
      <c r="D19" s="133">
        <v>1989.1</v>
      </c>
      <c r="E19" s="133">
        <v>282.89999999999998</v>
      </c>
      <c r="F19" s="133">
        <v>866.6</v>
      </c>
      <c r="G19" s="448"/>
      <c r="H19" s="361">
        <f t="shared" si="0"/>
        <v>2496.6769499999996</v>
      </c>
    </row>
    <row r="20" spans="1:8" x14ac:dyDescent="0.25">
      <c r="A20" s="133" t="s">
        <v>632</v>
      </c>
      <c r="B20" s="133">
        <v>2006</v>
      </c>
      <c r="C20" s="133">
        <v>17</v>
      </c>
      <c r="D20" s="133">
        <v>2139.1999999999998</v>
      </c>
      <c r="E20" s="133">
        <v>287.5</v>
      </c>
      <c r="F20" s="133">
        <v>862.5</v>
      </c>
      <c r="G20" s="448"/>
      <c r="H20" s="361">
        <f t="shared" si="0"/>
        <v>2563.2196800000006</v>
      </c>
    </row>
    <row r="21" spans="1:8" x14ac:dyDescent="0.25">
      <c r="A21" s="133" t="s">
        <v>633</v>
      </c>
      <c r="B21" s="133">
        <v>2006</v>
      </c>
      <c r="C21" s="133">
        <v>18</v>
      </c>
      <c r="D21" s="133">
        <v>2474.1999999999998</v>
      </c>
      <c r="E21" s="133">
        <v>286.3</v>
      </c>
      <c r="F21" s="133">
        <v>863.9</v>
      </c>
      <c r="G21" s="448"/>
      <c r="H21" s="361">
        <f t="shared" si="0"/>
        <v>2545.6494600000001</v>
      </c>
    </row>
    <row r="22" spans="1:8" x14ac:dyDescent="0.25">
      <c r="A22" s="225" t="s">
        <v>634</v>
      </c>
      <c r="B22" s="225">
        <v>2006</v>
      </c>
      <c r="C22" s="225">
        <v>19</v>
      </c>
      <c r="D22" s="225">
        <v>2393.6</v>
      </c>
      <c r="E22" s="133">
        <v>285.3</v>
      </c>
      <c r="F22" s="133">
        <v>858.5</v>
      </c>
      <c r="G22" s="342" t="s">
        <v>647</v>
      </c>
      <c r="H22" s="361">
        <f t="shared" si="0"/>
        <v>2535.2056800000005</v>
      </c>
    </row>
    <row r="23" spans="1:8" x14ac:dyDescent="0.25">
      <c r="A23" s="133" t="s">
        <v>635</v>
      </c>
      <c r="B23" s="133">
        <v>2006</v>
      </c>
      <c r="C23" s="133">
        <v>20</v>
      </c>
      <c r="D23" s="133">
        <v>2990.1</v>
      </c>
      <c r="E23" s="133">
        <v>304.10000000000002</v>
      </c>
      <c r="F23" s="133">
        <v>861.7</v>
      </c>
      <c r="G23" s="448" t="s">
        <v>646</v>
      </c>
      <c r="H23" s="361">
        <f t="shared" si="0"/>
        <v>2794.4047200000005</v>
      </c>
    </row>
    <row r="24" spans="1:8" x14ac:dyDescent="0.25">
      <c r="A24" s="133" t="s">
        <v>636</v>
      </c>
      <c r="B24" s="133">
        <v>2006</v>
      </c>
      <c r="C24" s="133">
        <v>21</v>
      </c>
      <c r="D24" s="133">
        <v>3190.3</v>
      </c>
      <c r="E24" s="133">
        <v>302.2</v>
      </c>
      <c r="F24" s="133">
        <v>854.6</v>
      </c>
      <c r="G24" s="448"/>
      <c r="H24" s="361">
        <f t="shared" si="0"/>
        <v>2772.5413500000004</v>
      </c>
    </row>
    <row r="25" spans="1:8" x14ac:dyDescent="0.25">
      <c r="A25" s="166" t="s">
        <v>637</v>
      </c>
      <c r="B25" s="166">
        <v>2006</v>
      </c>
      <c r="C25" s="166">
        <v>22</v>
      </c>
      <c r="D25" s="166">
        <v>3400.4</v>
      </c>
      <c r="E25" s="133">
        <v>309.60000000000002</v>
      </c>
      <c r="F25" s="133">
        <v>847</v>
      </c>
      <c r="G25" s="448"/>
      <c r="H25" s="361">
        <f t="shared" si="0"/>
        <v>2880.2304300000005</v>
      </c>
    </row>
    <row r="26" spans="1:8" x14ac:dyDescent="0.25">
      <c r="A26" s="222" t="s">
        <v>638</v>
      </c>
      <c r="B26" s="222">
        <v>2006</v>
      </c>
      <c r="C26" s="222">
        <v>23</v>
      </c>
      <c r="D26" s="222">
        <v>3399.5</v>
      </c>
      <c r="E26" s="133">
        <v>310</v>
      </c>
      <c r="F26" s="133">
        <v>854.4</v>
      </c>
      <c r="G26" s="342" t="s">
        <v>647</v>
      </c>
      <c r="H26" s="361">
        <f t="shared" si="0"/>
        <v>2881.0580100000002</v>
      </c>
    </row>
    <row r="27" spans="1:8" x14ac:dyDescent="0.25">
      <c r="A27" s="225" t="s">
        <v>639</v>
      </c>
      <c r="B27" s="225">
        <v>2006</v>
      </c>
      <c r="C27" s="225">
        <v>24</v>
      </c>
      <c r="D27" s="225">
        <v>3793.9</v>
      </c>
      <c r="E27" s="133">
        <v>305.89999999999998</v>
      </c>
      <c r="F27" s="133">
        <v>842.5</v>
      </c>
      <c r="G27" s="342" t="s">
        <v>646</v>
      </c>
      <c r="H27" s="361">
        <f t="shared" si="0"/>
        <v>2831.6920800000003</v>
      </c>
    </row>
    <row r="28" spans="1:8" x14ac:dyDescent="0.25">
      <c r="A28" s="225" t="s">
        <v>628</v>
      </c>
      <c r="B28" s="225">
        <v>2007</v>
      </c>
      <c r="C28" s="225">
        <v>25</v>
      </c>
      <c r="D28" s="225">
        <v>2584.9</v>
      </c>
      <c r="E28" s="133">
        <v>316</v>
      </c>
      <c r="F28" s="133">
        <v>842.1</v>
      </c>
      <c r="G28" s="448" t="s">
        <v>647</v>
      </c>
      <c r="H28" s="361">
        <f t="shared" si="0"/>
        <v>2972.2974000000004</v>
      </c>
    </row>
    <row r="29" spans="1:8" x14ac:dyDescent="0.25">
      <c r="A29" s="225" t="s">
        <v>629</v>
      </c>
      <c r="B29" s="225">
        <v>2007</v>
      </c>
      <c r="C29" s="225">
        <v>26</v>
      </c>
      <c r="D29" s="225">
        <v>2451.6999999999998</v>
      </c>
      <c r="E29" s="133">
        <v>302.60000000000002</v>
      </c>
      <c r="F29" s="133">
        <v>844.2</v>
      </c>
      <c r="G29" s="448"/>
      <c r="H29" s="361">
        <f t="shared" si="0"/>
        <v>2784.7484700000005</v>
      </c>
    </row>
    <row r="30" spans="1:8" x14ac:dyDescent="0.25">
      <c r="A30" s="133" t="s">
        <v>630</v>
      </c>
      <c r="B30" s="133">
        <v>2007</v>
      </c>
      <c r="C30" s="133">
        <v>27</v>
      </c>
      <c r="D30" s="133">
        <v>2666</v>
      </c>
      <c r="E30" s="133">
        <v>314.3</v>
      </c>
      <c r="F30" s="133">
        <v>843.6</v>
      </c>
      <c r="G30" s="448" t="s">
        <v>646</v>
      </c>
      <c r="H30" s="361">
        <f t="shared" si="0"/>
        <v>2947.7152500000007</v>
      </c>
    </row>
    <row r="31" spans="1:8" x14ac:dyDescent="0.25">
      <c r="A31" s="133" t="s">
        <v>631</v>
      </c>
      <c r="B31" s="133">
        <v>2007</v>
      </c>
      <c r="C31" s="133">
        <v>28</v>
      </c>
      <c r="D31" s="133">
        <v>2670</v>
      </c>
      <c r="E31" s="133">
        <v>311.10000000000002</v>
      </c>
      <c r="F31" s="133">
        <v>845.2</v>
      </c>
      <c r="G31" s="448"/>
      <c r="H31" s="361">
        <f t="shared" si="0"/>
        <v>2902.2251700000002</v>
      </c>
    </row>
    <row r="32" spans="1:8" x14ac:dyDescent="0.25">
      <c r="A32" s="133" t="s">
        <v>632</v>
      </c>
      <c r="B32" s="133">
        <v>2007</v>
      </c>
      <c r="C32" s="133">
        <v>29</v>
      </c>
      <c r="D32" s="133">
        <v>2731.8</v>
      </c>
      <c r="E32" s="133">
        <v>317.89999999999998</v>
      </c>
      <c r="F32" s="133">
        <v>833.2</v>
      </c>
      <c r="G32" s="448"/>
      <c r="H32" s="361">
        <f t="shared" si="0"/>
        <v>3004.3895700000003</v>
      </c>
    </row>
    <row r="33" spans="1:8" x14ac:dyDescent="0.25">
      <c r="A33" s="133" t="s">
        <v>633</v>
      </c>
      <c r="B33" s="133">
        <v>2007</v>
      </c>
      <c r="C33" s="133">
        <v>30</v>
      </c>
      <c r="D33" s="133">
        <v>2983.8</v>
      </c>
      <c r="E33" s="133">
        <v>329.7</v>
      </c>
      <c r="F33" s="133">
        <v>843.1</v>
      </c>
      <c r="G33" s="448"/>
      <c r="H33" s="361">
        <f t="shared" si="0"/>
        <v>3162.0333000000001</v>
      </c>
    </row>
    <row r="34" spans="1:8" x14ac:dyDescent="0.25">
      <c r="A34" t="s">
        <v>648</v>
      </c>
    </row>
    <row r="36" spans="1:8" s="141" customFormat="1" x14ac:dyDescent="0.25">
      <c r="A36" s="141" t="s">
        <v>642</v>
      </c>
      <c r="B36" s="141" t="s">
        <v>687</v>
      </c>
    </row>
    <row r="54" spans="1:2" s="141" customFormat="1" x14ac:dyDescent="0.25">
      <c r="A54" s="141" t="s">
        <v>649</v>
      </c>
      <c r="B54" s="141" t="s">
        <v>688</v>
      </c>
    </row>
    <row r="55" spans="1:2" s="141" customFormat="1" x14ac:dyDescent="0.25"/>
    <row r="56" spans="1:2" x14ac:dyDescent="0.25">
      <c r="A56" s="141" t="s">
        <v>689</v>
      </c>
    </row>
    <row r="57" spans="1:2" x14ac:dyDescent="0.25">
      <c r="A57" s="141"/>
    </row>
    <row r="58" spans="1:2" x14ac:dyDescent="0.25">
      <c r="A58" t="s">
        <v>487</v>
      </c>
    </row>
    <row r="60" spans="1:2" x14ac:dyDescent="0.25">
      <c r="A60" s="209" t="s">
        <v>338</v>
      </c>
      <c r="B60" s="209"/>
    </row>
    <row r="61" spans="1:2" ht="30" x14ac:dyDescent="0.25">
      <c r="A61" s="345" t="s">
        <v>339</v>
      </c>
      <c r="B61" s="295">
        <v>0.81749187234569276</v>
      </c>
    </row>
    <row r="62" spans="1:2" x14ac:dyDescent="0.25">
      <c r="A62" s="345" t="s">
        <v>340</v>
      </c>
      <c r="B62" s="295">
        <v>0.66829296135126637</v>
      </c>
    </row>
    <row r="63" spans="1:2" ht="30" x14ac:dyDescent="0.25">
      <c r="A63" s="345" t="s">
        <v>341</v>
      </c>
      <c r="B63" s="295">
        <v>0.64372206959950828</v>
      </c>
    </row>
    <row r="64" spans="1:2" ht="30" x14ac:dyDescent="0.25">
      <c r="A64" s="345" t="s">
        <v>342</v>
      </c>
      <c r="B64" s="295">
        <v>398.7678639552164</v>
      </c>
    </row>
    <row r="65" spans="1:10" x14ac:dyDescent="0.25">
      <c r="A65" s="345" t="s">
        <v>343</v>
      </c>
      <c r="B65" s="295">
        <v>30</v>
      </c>
    </row>
    <row r="67" spans="1:10" ht="15.75" thickBot="1" x14ac:dyDescent="0.3">
      <c r="A67" t="s">
        <v>344</v>
      </c>
    </row>
    <row r="68" spans="1:10" s="291" customFormat="1" ht="30" x14ac:dyDescent="0.25">
      <c r="A68" s="346"/>
      <c r="B68" s="347" t="s">
        <v>348</v>
      </c>
      <c r="C68" s="347" t="s">
        <v>349</v>
      </c>
      <c r="D68" s="347" t="s">
        <v>350</v>
      </c>
      <c r="E68" s="347" t="s">
        <v>351</v>
      </c>
      <c r="F68" s="348" t="s">
        <v>352</v>
      </c>
    </row>
    <row r="69" spans="1:10" x14ac:dyDescent="0.25">
      <c r="A69" s="349" t="s">
        <v>345</v>
      </c>
      <c r="B69" s="210">
        <v>2</v>
      </c>
      <c r="C69" s="210">
        <v>8650003.1979347076</v>
      </c>
      <c r="D69" s="210">
        <v>4325001.5989673538</v>
      </c>
      <c r="E69" s="210">
        <v>27.198563572828004</v>
      </c>
      <c r="F69" s="350">
        <v>3.389910842833356E-7</v>
      </c>
    </row>
    <row r="70" spans="1:10" x14ac:dyDescent="0.25">
      <c r="A70" s="349" t="s">
        <v>346</v>
      </c>
      <c r="B70" s="210">
        <v>27</v>
      </c>
      <c r="C70" s="210">
        <v>4293426.8517319616</v>
      </c>
      <c r="D70" s="210">
        <v>159015.80932340599</v>
      </c>
      <c r="E70" s="210"/>
      <c r="F70" s="350"/>
    </row>
    <row r="71" spans="1:10" ht="15.75" thickBot="1" x14ac:dyDescent="0.3">
      <c r="A71" s="351" t="s">
        <v>303</v>
      </c>
      <c r="B71" s="352">
        <v>29</v>
      </c>
      <c r="C71" s="352">
        <v>12943430.049666669</v>
      </c>
      <c r="D71" s="352"/>
      <c r="E71" s="352"/>
      <c r="F71" s="353"/>
    </row>
    <row r="72" spans="1:10" ht="15.75" thickBot="1" x14ac:dyDescent="0.3"/>
    <row r="73" spans="1:10" s="115" customFormat="1" ht="45" x14ac:dyDescent="0.25">
      <c r="A73" s="354"/>
      <c r="B73" s="357" t="s">
        <v>353</v>
      </c>
      <c r="C73" s="355" t="s">
        <v>342</v>
      </c>
      <c r="D73" s="355" t="s">
        <v>354</v>
      </c>
      <c r="E73" s="355" t="s">
        <v>355</v>
      </c>
      <c r="F73" s="355" t="s">
        <v>356</v>
      </c>
      <c r="G73" s="355" t="s">
        <v>357</v>
      </c>
      <c r="H73" s="355" t="s">
        <v>358</v>
      </c>
      <c r="I73" s="356" t="s">
        <v>359</v>
      </c>
    </row>
    <row r="74" spans="1:10" x14ac:dyDescent="0.25">
      <c r="A74" s="349" t="s">
        <v>347</v>
      </c>
      <c r="B74" s="213">
        <v>-880.48406933049682</v>
      </c>
      <c r="C74" s="210">
        <v>14639.613078229529</v>
      </c>
      <c r="D74" s="210">
        <v>-6.0143944011734764E-2</v>
      </c>
      <c r="E74" s="210">
        <v>0.95248396525916124</v>
      </c>
      <c r="F74" s="210">
        <v>-30918.488932705743</v>
      </c>
      <c r="G74" s="210">
        <v>29157.520794044747</v>
      </c>
      <c r="H74" s="210">
        <v>-30918.488932705743</v>
      </c>
      <c r="I74" s="350">
        <v>29157.520794044747</v>
      </c>
    </row>
    <row r="75" spans="1:10" x14ac:dyDescent="0.25">
      <c r="A75" s="349" t="s">
        <v>360</v>
      </c>
      <c r="B75" s="213">
        <v>13.895979169432438</v>
      </c>
      <c r="C75" s="210">
        <v>7.7516089176245657</v>
      </c>
      <c r="D75" s="210">
        <v>1.7926574104941788</v>
      </c>
      <c r="E75" s="210">
        <v>8.4239937937523574E-2</v>
      </c>
      <c r="F75" s="210">
        <v>-2.0090085595703648</v>
      </c>
      <c r="G75" s="210">
        <v>29.800966898435242</v>
      </c>
      <c r="H75" s="210">
        <v>-2.0090085595703648</v>
      </c>
      <c r="I75" s="350">
        <v>29.800966898435242</v>
      </c>
    </row>
    <row r="76" spans="1:10" ht="15.75" thickBot="1" x14ac:dyDescent="0.3">
      <c r="A76" s="351" t="s">
        <v>651</v>
      </c>
      <c r="B76" s="358">
        <v>-0.63933155414493181</v>
      </c>
      <c r="C76" s="352">
        <v>14.521511639549569</v>
      </c>
      <c r="D76" s="352">
        <v>-4.4026515283966866E-2</v>
      </c>
      <c r="E76" s="352">
        <v>0.96520726483283081</v>
      </c>
      <c r="F76" s="352">
        <v>-30.435012281596407</v>
      </c>
      <c r="G76" s="352">
        <v>29.156349173306545</v>
      </c>
      <c r="H76" s="352">
        <v>-30.435012281596407</v>
      </c>
      <c r="I76" s="353">
        <v>29.156349173306545</v>
      </c>
    </row>
    <row r="78" spans="1:10" ht="18" customHeight="1" x14ac:dyDescent="0.25">
      <c r="A78" t="s">
        <v>652</v>
      </c>
      <c r="D78" s="141" t="s">
        <v>653</v>
      </c>
      <c r="E78" s="141"/>
      <c r="F78" s="480" t="s">
        <v>654</v>
      </c>
      <c r="G78" s="480"/>
      <c r="H78" s="480"/>
      <c r="I78" s="480"/>
      <c r="J78" s="480"/>
    </row>
    <row r="79" spans="1:10" ht="26.25" customHeight="1" x14ac:dyDescent="0.25">
      <c r="F79" s="480"/>
      <c r="G79" s="480"/>
      <c r="H79" s="480"/>
      <c r="I79" s="480"/>
      <c r="J79" s="480"/>
    </row>
    <row r="81" spans="1:7" x14ac:dyDescent="0.25">
      <c r="A81" s="141" t="s">
        <v>690</v>
      </c>
    </row>
    <row r="82" spans="1:7" x14ac:dyDescent="0.25">
      <c r="A82" s="362" t="s">
        <v>656</v>
      </c>
    </row>
    <row r="83" spans="1:7" x14ac:dyDescent="0.25">
      <c r="A83" t="s">
        <v>657</v>
      </c>
    </row>
    <row r="84" spans="1:7" s="292" customFormat="1" ht="60" x14ac:dyDescent="0.25">
      <c r="A84" s="307" t="s">
        <v>626</v>
      </c>
      <c r="B84" s="307" t="s">
        <v>422</v>
      </c>
      <c r="C84" s="307" t="s">
        <v>627</v>
      </c>
      <c r="D84" s="307" t="s">
        <v>650</v>
      </c>
      <c r="E84" s="288" t="s">
        <v>655</v>
      </c>
      <c r="F84" s="288" t="s">
        <v>658</v>
      </c>
      <c r="G84" s="288" t="s">
        <v>659</v>
      </c>
    </row>
    <row r="85" spans="1:7" x14ac:dyDescent="0.25">
      <c r="A85" s="133" t="s">
        <v>628</v>
      </c>
      <c r="B85" s="133">
        <v>2005</v>
      </c>
      <c r="C85" s="133">
        <v>1</v>
      </c>
      <c r="D85" s="133">
        <v>1282</v>
      </c>
      <c r="E85" s="133">
        <v>1316.8587900000007</v>
      </c>
      <c r="F85" s="133">
        <f>D85-E85</f>
        <v>-34.858790000000681</v>
      </c>
      <c r="G85" s="289">
        <f>(F85+F97+F109)/3</f>
        <v>-279.67648666666724</v>
      </c>
    </row>
    <row r="86" spans="1:7" x14ac:dyDescent="0.25">
      <c r="A86" s="133" t="s">
        <v>629</v>
      </c>
      <c r="B86" s="133">
        <v>2005</v>
      </c>
      <c r="C86" s="133">
        <v>2</v>
      </c>
      <c r="D86" s="133">
        <v>1292.7</v>
      </c>
      <c r="E86" s="133">
        <v>1481.5516800000005</v>
      </c>
      <c r="F86" s="133">
        <f t="shared" ref="F86:F114" si="1">D86-E86</f>
        <v>-188.85168000000044</v>
      </c>
      <c r="G86" s="289">
        <f t="shared" ref="G86:G89" si="2">(F86+F98+F110)/3</f>
        <v>-287.32749666666717</v>
      </c>
    </row>
    <row r="87" spans="1:7" x14ac:dyDescent="0.25">
      <c r="A87" s="133" t="s">
        <v>630</v>
      </c>
      <c r="B87" s="133">
        <v>2005</v>
      </c>
      <c r="C87" s="133">
        <v>3</v>
      </c>
      <c r="D87" s="133">
        <v>1295</v>
      </c>
      <c r="E87" s="133">
        <v>1415.9208300000005</v>
      </c>
      <c r="F87" s="133">
        <f t="shared" si="1"/>
        <v>-120.92083000000048</v>
      </c>
      <c r="G87" s="289">
        <f t="shared" si="2"/>
        <v>-237.01102666666716</v>
      </c>
    </row>
    <row r="88" spans="1:7" x14ac:dyDescent="0.25">
      <c r="A88" s="133" t="s">
        <v>631</v>
      </c>
      <c r="B88" s="133">
        <v>2005</v>
      </c>
      <c r="C88" s="133">
        <v>4</v>
      </c>
      <c r="D88" s="133">
        <v>1392.6</v>
      </c>
      <c r="E88" s="133">
        <v>1686.9939900000004</v>
      </c>
      <c r="F88" s="133">
        <f t="shared" si="1"/>
        <v>-294.39399000000049</v>
      </c>
      <c r="G88" s="289">
        <f t="shared" si="2"/>
        <v>-344.73203666666677</v>
      </c>
    </row>
    <row r="89" spans="1:7" x14ac:dyDescent="0.25">
      <c r="A89" s="133" t="s">
        <v>632</v>
      </c>
      <c r="B89" s="133">
        <v>2005</v>
      </c>
      <c r="C89" s="133">
        <v>5</v>
      </c>
      <c r="D89" s="133">
        <v>1647.3</v>
      </c>
      <c r="E89" s="133">
        <v>1593.8907900000004</v>
      </c>
      <c r="F89" s="133">
        <f t="shared" si="1"/>
        <v>53.409209999999575</v>
      </c>
      <c r="G89" s="289">
        <f t="shared" si="2"/>
        <v>-214.40001333333376</v>
      </c>
    </row>
    <row r="90" spans="1:7" x14ac:dyDescent="0.25">
      <c r="A90" s="133" t="s">
        <v>633</v>
      </c>
      <c r="B90" s="133">
        <v>2005</v>
      </c>
      <c r="C90" s="133">
        <v>6</v>
      </c>
      <c r="D90" s="133">
        <v>1672.9</v>
      </c>
      <c r="E90" s="133">
        <v>1824.0360900000001</v>
      </c>
      <c r="F90" s="133">
        <f t="shared" si="1"/>
        <v>-151.13608999999997</v>
      </c>
      <c r="G90" s="289">
        <f>(F90+F102+F114)/3</f>
        <v>-133.60628333333338</v>
      </c>
    </row>
    <row r="91" spans="1:7" x14ac:dyDescent="0.25">
      <c r="A91" s="225" t="s">
        <v>634</v>
      </c>
      <c r="B91" s="225">
        <v>2005</v>
      </c>
      <c r="C91" s="225">
        <v>7</v>
      </c>
      <c r="D91" s="225">
        <v>1660.5</v>
      </c>
      <c r="E91" s="133">
        <v>1765.7705400000004</v>
      </c>
      <c r="F91" s="133">
        <f t="shared" si="1"/>
        <v>-105.27054000000044</v>
      </c>
      <c r="G91" s="289">
        <f>(F91+F103)/2</f>
        <v>-123.43811000000051</v>
      </c>
    </row>
    <row r="92" spans="1:7" x14ac:dyDescent="0.25">
      <c r="A92" s="133" t="s">
        <v>635</v>
      </c>
      <c r="B92" s="133">
        <v>2005</v>
      </c>
      <c r="C92" s="133">
        <v>8</v>
      </c>
      <c r="D92" s="133">
        <v>2011.7</v>
      </c>
      <c r="E92" s="133">
        <v>1909.9425900000001</v>
      </c>
      <c r="F92" s="133">
        <f t="shared" si="1"/>
        <v>101.75740999999994</v>
      </c>
      <c r="G92" s="289">
        <f t="shared" ref="G92:G95" si="3">(F92+F104)/2</f>
        <v>148.7263449999997</v>
      </c>
    </row>
    <row r="93" spans="1:7" x14ac:dyDescent="0.25">
      <c r="A93" s="133" t="s">
        <v>636</v>
      </c>
      <c r="B93" s="133">
        <v>2005</v>
      </c>
      <c r="C93" s="133">
        <v>9</v>
      </c>
      <c r="D93" s="133">
        <v>2351.9</v>
      </c>
      <c r="E93" s="133">
        <v>1863.0762600000003</v>
      </c>
      <c r="F93" s="133">
        <f t="shared" si="1"/>
        <v>488.82373999999982</v>
      </c>
      <c r="G93" s="289">
        <f t="shared" si="3"/>
        <v>453.29119499999979</v>
      </c>
    </row>
    <row r="94" spans="1:7" x14ac:dyDescent="0.25">
      <c r="A94" s="166" t="s">
        <v>637</v>
      </c>
      <c r="B94" s="166">
        <v>2005</v>
      </c>
      <c r="C94" s="166">
        <v>10</v>
      </c>
      <c r="D94" s="166">
        <v>2513.9</v>
      </c>
      <c r="E94" s="133">
        <v>2007.6621</v>
      </c>
      <c r="F94" s="133">
        <f t="shared" si="1"/>
        <v>506.23790000000008</v>
      </c>
      <c r="G94" s="289">
        <f t="shared" si="3"/>
        <v>513.20373499999982</v>
      </c>
    </row>
    <row r="95" spans="1:7" x14ac:dyDescent="0.25">
      <c r="A95" s="222" t="s">
        <v>638</v>
      </c>
      <c r="B95" s="222">
        <v>2005</v>
      </c>
      <c r="C95" s="222">
        <v>11</v>
      </c>
      <c r="D95" s="222">
        <v>2468.5</v>
      </c>
      <c r="E95" s="133">
        <v>2132.1844500000002</v>
      </c>
      <c r="F95" s="133">
        <f t="shared" si="1"/>
        <v>336.3155499999998</v>
      </c>
      <c r="G95" s="289">
        <f t="shared" si="3"/>
        <v>427.3787699999998</v>
      </c>
    </row>
    <row r="96" spans="1:7" x14ac:dyDescent="0.25">
      <c r="A96" s="225" t="s">
        <v>639</v>
      </c>
      <c r="B96" s="225">
        <v>2005</v>
      </c>
      <c r="C96" s="225">
        <v>12</v>
      </c>
      <c r="D96" s="225">
        <v>2746.2</v>
      </c>
      <c r="E96" s="133">
        <v>2057.4621900000006</v>
      </c>
      <c r="F96" s="133">
        <f t="shared" si="1"/>
        <v>688.73780999999917</v>
      </c>
      <c r="G96" s="289">
        <f>(F96+F108)/2</f>
        <v>825.4728649999995</v>
      </c>
    </row>
    <row r="97" spans="1:8" x14ac:dyDescent="0.25">
      <c r="A97" s="225" t="s">
        <v>628</v>
      </c>
      <c r="B97" s="133">
        <v>2006</v>
      </c>
      <c r="C97" s="133">
        <v>13</v>
      </c>
      <c r="D97" s="225">
        <v>1942.7</v>
      </c>
      <c r="E97" s="133">
        <v>2359.4732700000009</v>
      </c>
      <c r="F97" s="133">
        <f t="shared" si="1"/>
        <v>-416.77327000000082</v>
      </c>
      <c r="G97" s="290">
        <f>SUM(G85:G96)</f>
        <v>747.88145666666287</v>
      </c>
      <c r="H97" t="s">
        <v>661</v>
      </c>
    </row>
    <row r="98" spans="1:8" x14ac:dyDescent="0.25">
      <c r="A98" s="225" t="s">
        <v>629</v>
      </c>
      <c r="B98" s="225">
        <v>2006</v>
      </c>
      <c r="C98" s="225">
        <v>14</v>
      </c>
      <c r="D98" s="225">
        <v>1901.1</v>
      </c>
      <c r="E98" s="133">
        <v>2241.1823400000003</v>
      </c>
      <c r="F98" s="133">
        <f t="shared" si="1"/>
        <v>-340.08234000000039</v>
      </c>
      <c r="G98" s="133"/>
    </row>
    <row r="99" spans="1:8" x14ac:dyDescent="0.25">
      <c r="A99" s="133" t="s">
        <v>630</v>
      </c>
      <c r="B99" s="133">
        <v>2006</v>
      </c>
      <c r="C99" s="133">
        <v>15</v>
      </c>
      <c r="D99" s="133">
        <v>1971.6</v>
      </c>
      <c r="E99" s="133">
        <v>2279.9970000000003</v>
      </c>
      <c r="F99" s="133">
        <f t="shared" si="1"/>
        <v>-308.39700000000039</v>
      </c>
      <c r="G99" s="133"/>
    </row>
    <row r="100" spans="1:8" x14ac:dyDescent="0.25">
      <c r="A100" s="133" t="s">
        <v>631</v>
      </c>
      <c r="B100" s="133">
        <v>2006</v>
      </c>
      <c r="C100" s="133">
        <v>16</v>
      </c>
      <c r="D100" s="133">
        <v>1989.1</v>
      </c>
      <c r="E100" s="133">
        <v>2496.6769499999996</v>
      </c>
      <c r="F100" s="133">
        <f t="shared" si="1"/>
        <v>-507.57694999999967</v>
      </c>
      <c r="G100" s="133"/>
    </row>
    <row r="101" spans="1:8" x14ac:dyDescent="0.25">
      <c r="A101" s="133" t="s">
        <v>632</v>
      </c>
      <c r="B101" s="133">
        <v>2006</v>
      </c>
      <c r="C101" s="133">
        <v>17</v>
      </c>
      <c r="D101" s="133">
        <v>2139.1999999999998</v>
      </c>
      <c r="E101" s="133">
        <v>2563.2196800000006</v>
      </c>
      <c r="F101" s="133">
        <f t="shared" si="1"/>
        <v>-424.01968000000079</v>
      </c>
      <c r="G101" s="133"/>
    </row>
    <row r="102" spans="1:8" x14ac:dyDescent="0.25">
      <c r="A102" s="133" t="s">
        <v>633</v>
      </c>
      <c r="B102" s="133">
        <v>2006</v>
      </c>
      <c r="C102" s="133">
        <v>18</v>
      </c>
      <c r="D102" s="133">
        <v>2474.1999999999998</v>
      </c>
      <c r="E102" s="133">
        <v>2545.6494600000001</v>
      </c>
      <c r="F102" s="133">
        <f t="shared" si="1"/>
        <v>-71.449460000000272</v>
      </c>
      <c r="G102" s="133"/>
    </row>
    <row r="103" spans="1:8" x14ac:dyDescent="0.25">
      <c r="A103" s="225" t="s">
        <v>634</v>
      </c>
      <c r="B103" s="225">
        <v>2006</v>
      </c>
      <c r="C103" s="225">
        <v>19</v>
      </c>
      <c r="D103" s="225">
        <v>2393.6</v>
      </c>
      <c r="E103" s="133">
        <v>2535.2056800000005</v>
      </c>
      <c r="F103" s="133">
        <f t="shared" si="1"/>
        <v>-141.60568000000058</v>
      </c>
      <c r="G103" s="133"/>
    </row>
    <row r="104" spans="1:8" x14ac:dyDescent="0.25">
      <c r="A104" s="133" t="s">
        <v>635</v>
      </c>
      <c r="B104" s="133">
        <v>2006</v>
      </c>
      <c r="C104" s="133">
        <v>20</v>
      </c>
      <c r="D104" s="133">
        <v>2990.1</v>
      </c>
      <c r="E104" s="133">
        <v>2794.4047200000005</v>
      </c>
      <c r="F104" s="133">
        <f t="shared" si="1"/>
        <v>195.69527999999946</v>
      </c>
      <c r="G104" s="133"/>
    </row>
    <row r="105" spans="1:8" x14ac:dyDescent="0.25">
      <c r="A105" s="133" t="s">
        <v>636</v>
      </c>
      <c r="B105" s="133">
        <v>2006</v>
      </c>
      <c r="C105" s="133">
        <v>21</v>
      </c>
      <c r="D105" s="133">
        <v>3190.3</v>
      </c>
      <c r="E105" s="133">
        <v>2772.5413500000004</v>
      </c>
      <c r="F105" s="133">
        <f t="shared" si="1"/>
        <v>417.75864999999976</v>
      </c>
      <c r="G105" s="133"/>
    </row>
    <row r="106" spans="1:8" x14ac:dyDescent="0.25">
      <c r="A106" s="166" t="s">
        <v>637</v>
      </c>
      <c r="B106" s="166">
        <v>2006</v>
      </c>
      <c r="C106" s="166">
        <v>22</v>
      </c>
      <c r="D106" s="166">
        <v>3400.4</v>
      </c>
      <c r="E106" s="133">
        <v>2880.2304300000005</v>
      </c>
      <c r="F106" s="133">
        <f t="shared" si="1"/>
        <v>520.16956999999957</v>
      </c>
      <c r="G106" s="133"/>
    </row>
    <row r="107" spans="1:8" x14ac:dyDescent="0.25">
      <c r="A107" s="222" t="s">
        <v>638</v>
      </c>
      <c r="B107" s="222">
        <v>2006</v>
      </c>
      <c r="C107" s="222">
        <v>23</v>
      </c>
      <c r="D107" s="222">
        <v>3399.5</v>
      </c>
      <c r="E107" s="133">
        <v>2881.0580100000002</v>
      </c>
      <c r="F107" s="133">
        <f t="shared" si="1"/>
        <v>518.44198999999981</v>
      </c>
      <c r="G107" s="133"/>
    </row>
    <row r="108" spans="1:8" x14ac:dyDescent="0.25">
      <c r="A108" s="225" t="s">
        <v>639</v>
      </c>
      <c r="B108" s="225">
        <v>2006</v>
      </c>
      <c r="C108" s="225">
        <v>24</v>
      </c>
      <c r="D108" s="225">
        <v>3793.9</v>
      </c>
      <c r="E108" s="133">
        <v>2831.6920800000003</v>
      </c>
      <c r="F108" s="133">
        <f t="shared" si="1"/>
        <v>962.20791999999983</v>
      </c>
      <c r="G108" s="133"/>
    </row>
    <row r="109" spans="1:8" x14ac:dyDescent="0.25">
      <c r="A109" s="225" t="s">
        <v>628</v>
      </c>
      <c r="B109" s="225">
        <v>2007</v>
      </c>
      <c r="C109" s="225">
        <v>25</v>
      </c>
      <c r="D109" s="225">
        <v>2584.9</v>
      </c>
      <c r="E109" s="133">
        <v>2972.2974000000004</v>
      </c>
      <c r="F109" s="133">
        <f t="shared" si="1"/>
        <v>-387.39740000000029</v>
      </c>
      <c r="G109" s="133"/>
    </row>
    <row r="110" spans="1:8" x14ac:dyDescent="0.25">
      <c r="A110" s="225" t="s">
        <v>629</v>
      </c>
      <c r="B110" s="225">
        <v>2007</v>
      </c>
      <c r="C110" s="225">
        <v>26</v>
      </c>
      <c r="D110" s="225">
        <v>2451.6999999999998</v>
      </c>
      <c r="E110" s="133">
        <v>2784.7484700000005</v>
      </c>
      <c r="F110" s="133">
        <f t="shared" si="1"/>
        <v>-333.04847000000063</v>
      </c>
      <c r="G110" s="133"/>
    </row>
    <row r="111" spans="1:8" x14ac:dyDescent="0.25">
      <c r="A111" s="133" t="s">
        <v>630</v>
      </c>
      <c r="B111" s="133">
        <v>2007</v>
      </c>
      <c r="C111" s="133">
        <v>27</v>
      </c>
      <c r="D111" s="133">
        <v>2666</v>
      </c>
      <c r="E111" s="133">
        <v>2947.7152500000007</v>
      </c>
      <c r="F111" s="133">
        <f t="shared" si="1"/>
        <v>-281.71525000000065</v>
      </c>
      <c r="G111" s="133"/>
    </row>
    <row r="112" spans="1:8" x14ac:dyDescent="0.25">
      <c r="A112" s="133" t="s">
        <v>631</v>
      </c>
      <c r="B112" s="133">
        <v>2007</v>
      </c>
      <c r="C112" s="133">
        <v>28</v>
      </c>
      <c r="D112" s="133">
        <v>2670</v>
      </c>
      <c r="E112" s="133">
        <v>2902.2251700000002</v>
      </c>
      <c r="F112" s="133">
        <f t="shared" si="1"/>
        <v>-232.22517000000016</v>
      </c>
      <c r="G112" s="133"/>
    </row>
    <row r="113" spans="1:7" x14ac:dyDescent="0.25">
      <c r="A113" s="133" t="s">
        <v>632</v>
      </c>
      <c r="B113" s="133">
        <v>2007</v>
      </c>
      <c r="C113" s="133">
        <v>29</v>
      </c>
      <c r="D113" s="133">
        <v>2731.8</v>
      </c>
      <c r="E113" s="133">
        <v>3004.3895700000003</v>
      </c>
      <c r="F113" s="133">
        <f t="shared" si="1"/>
        <v>-272.58957000000009</v>
      </c>
      <c r="G113" s="133"/>
    </row>
    <row r="114" spans="1:7" x14ac:dyDescent="0.25">
      <c r="A114" s="133" t="s">
        <v>633</v>
      </c>
      <c r="B114" s="133">
        <v>2007</v>
      </c>
      <c r="C114" s="133">
        <v>30</v>
      </c>
      <c r="D114" s="133">
        <v>2983.8</v>
      </c>
      <c r="E114" s="133">
        <v>3162.0333000000001</v>
      </c>
      <c r="F114" s="133">
        <f t="shared" si="1"/>
        <v>-178.23329999999987</v>
      </c>
      <c r="G114" s="133"/>
    </row>
    <row r="116" spans="1:7" x14ac:dyDescent="0.25">
      <c r="A116" s="141" t="s">
        <v>660</v>
      </c>
    </row>
    <row r="118" spans="1:7" x14ac:dyDescent="0.25">
      <c r="A118" s="141" t="s">
        <v>662</v>
      </c>
    </row>
    <row r="120" spans="1:7" x14ac:dyDescent="0.25">
      <c r="A120" t="s">
        <v>663</v>
      </c>
    </row>
    <row r="122" spans="1:7" x14ac:dyDescent="0.25">
      <c r="B122" t="s">
        <v>664</v>
      </c>
      <c r="E122">
        <f>G97/12</f>
        <v>62.323454722221904</v>
      </c>
    </row>
    <row r="124" spans="1:7" s="292" customFormat="1" ht="45" x14ac:dyDescent="0.25">
      <c r="A124" s="344" t="s">
        <v>626</v>
      </c>
      <c r="B124" s="344" t="s">
        <v>422</v>
      </c>
      <c r="C124" s="344" t="s">
        <v>627</v>
      </c>
      <c r="D124" s="343" t="s">
        <v>659</v>
      </c>
      <c r="E124" s="343" t="s">
        <v>665</v>
      </c>
    </row>
    <row r="125" spans="1:7" x14ac:dyDescent="0.25">
      <c r="A125" s="133" t="s">
        <v>628</v>
      </c>
      <c r="B125" s="133">
        <v>2005</v>
      </c>
      <c r="C125" s="133">
        <v>1</v>
      </c>
      <c r="D125" s="360">
        <v>-279.67648666666724</v>
      </c>
      <c r="E125" s="361">
        <f>D125-$E$122</f>
        <v>-341.99994138888917</v>
      </c>
    </row>
    <row r="126" spans="1:7" x14ac:dyDescent="0.25">
      <c r="A126" s="133" t="s">
        <v>629</v>
      </c>
      <c r="B126" s="133">
        <v>2005</v>
      </c>
      <c r="C126" s="133">
        <v>2</v>
      </c>
      <c r="D126" s="360">
        <v>-287.32749666666717</v>
      </c>
      <c r="E126" s="361">
        <f t="shared" ref="E126:E136" si="4">D126-$E$122</f>
        <v>-349.6509513888891</v>
      </c>
    </row>
    <row r="127" spans="1:7" x14ac:dyDescent="0.25">
      <c r="A127" s="133" t="s">
        <v>630</v>
      </c>
      <c r="B127" s="133">
        <v>2005</v>
      </c>
      <c r="C127" s="133">
        <v>3</v>
      </c>
      <c r="D127" s="360">
        <v>-237.01102666666716</v>
      </c>
      <c r="E127" s="361">
        <f t="shared" si="4"/>
        <v>-299.33448138888906</v>
      </c>
    </row>
    <row r="128" spans="1:7" x14ac:dyDescent="0.25">
      <c r="A128" s="133" t="s">
        <v>631</v>
      </c>
      <c r="B128" s="133">
        <v>2005</v>
      </c>
      <c r="C128" s="133">
        <v>4</v>
      </c>
      <c r="D128" s="360">
        <v>-344.73203666666677</v>
      </c>
      <c r="E128" s="361">
        <f t="shared" si="4"/>
        <v>-407.0554913888887</v>
      </c>
    </row>
    <row r="129" spans="1:7" x14ac:dyDescent="0.25">
      <c r="A129" s="133" t="s">
        <v>632</v>
      </c>
      <c r="B129" s="133">
        <v>2005</v>
      </c>
      <c r="C129" s="133">
        <v>5</v>
      </c>
      <c r="D129" s="360">
        <v>-214.40001333333376</v>
      </c>
      <c r="E129" s="361">
        <f t="shared" si="4"/>
        <v>-276.72346805555566</v>
      </c>
    </row>
    <row r="130" spans="1:7" x14ac:dyDescent="0.25">
      <c r="A130" s="133" t="s">
        <v>633</v>
      </c>
      <c r="B130" s="133">
        <v>2005</v>
      </c>
      <c r="C130" s="133">
        <v>6</v>
      </c>
      <c r="D130" s="360">
        <v>-133.60628333333338</v>
      </c>
      <c r="E130" s="361">
        <f t="shared" si="4"/>
        <v>-195.92973805555528</v>
      </c>
    </row>
    <row r="131" spans="1:7" x14ac:dyDescent="0.25">
      <c r="A131" s="225" t="s">
        <v>634</v>
      </c>
      <c r="B131" s="225">
        <v>2005</v>
      </c>
      <c r="C131" s="225">
        <v>7</v>
      </c>
      <c r="D131" s="360">
        <v>-123.43811000000051</v>
      </c>
      <c r="E131" s="361">
        <f t="shared" si="4"/>
        <v>-185.7615647222224</v>
      </c>
    </row>
    <row r="132" spans="1:7" x14ac:dyDescent="0.25">
      <c r="A132" s="133" t="s">
        <v>635</v>
      </c>
      <c r="B132" s="133">
        <v>2005</v>
      </c>
      <c r="C132" s="133">
        <v>8</v>
      </c>
      <c r="D132" s="360">
        <v>148.7263449999997</v>
      </c>
      <c r="E132" s="361">
        <f t="shared" si="4"/>
        <v>86.4028902777778</v>
      </c>
    </row>
    <row r="133" spans="1:7" x14ac:dyDescent="0.25">
      <c r="A133" s="133" t="s">
        <v>636</v>
      </c>
      <c r="B133" s="133">
        <v>2005</v>
      </c>
      <c r="C133" s="133">
        <v>9</v>
      </c>
      <c r="D133" s="360">
        <v>453.29119499999979</v>
      </c>
      <c r="E133" s="361">
        <f t="shared" si="4"/>
        <v>390.96774027777786</v>
      </c>
    </row>
    <row r="134" spans="1:7" x14ac:dyDescent="0.25">
      <c r="A134" s="166" t="s">
        <v>637</v>
      </c>
      <c r="B134" s="166">
        <v>2005</v>
      </c>
      <c r="C134" s="166">
        <v>10</v>
      </c>
      <c r="D134" s="360">
        <v>513.20373499999982</v>
      </c>
      <c r="E134" s="361">
        <f t="shared" si="4"/>
        <v>450.8802802777779</v>
      </c>
    </row>
    <row r="135" spans="1:7" x14ac:dyDescent="0.25">
      <c r="A135" s="222" t="s">
        <v>638</v>
      </c>
      <c r="B135" s="222">
        <v>2005</v>
      </c>
      <c r="C135" s="222">
        <v>11</v>
      </c>
      <c r="D135" s="360">
        <v>427.3787699999998</v>
      </c>
      <c r="E135" s="361">
        <f t="shared" si="4"/>
        <v>365.05531527777788</v>
      </c>
    </row>
    <row r="136" spans="1:7" x14ac:dyDescent="0.25">
      <c r="A136" s="225" t="s">
        <v>639</v>
      </c>
      <c r="B136" s="225">
        <v>2005</v>
      </c>
      <c r="C136" s="225">
        <v>12</v>
      </c>
      <c r="D136" s="360">
        <v>825.4728649999995</v>
      </c>
      <c r="E136" s="361">
        <f t="shared" si="4"/>
        <v>763.14941027777763</v>
      </c>
    </row>
    <row r="137" spans="1:7" x14ac:dyDescent="0.25">
      <c r="D137" t="s">
        <v>475</v>
      </c>
      <c r="E137" s="117">
        <f>SUM(E125:E136)</f>
        <v>0</v>
      </c>
    </row>
    <row r="139" spans="1:7" x14ac:dyDescent="0.25">
      <c r="A139" s="362" t="s">
        <v>668</v>
      </c>
    </row>
    <row r="141" spans="1:7" s="292" customFormat="1" ht="60" x14ac:dyDescent="0.25">
      <c r="A141" s="343" t="s">
        <v>626</v>
      </c>
      <c r="B141" s="343" t="s">
        <v>422</v>
      </c>
      <c r="C141" s="343" t="s">
        <v>627</v>
      </c>
      <c r="D141" s="343" t="s">
        <v>650</v>
      </c>
      <c r="E141" s="343" t="s">
        <v>655</v>
      </c>
      <c r="F141" s="343" t="s">
        <v>658</v>
      </c>
      <c r="G141" s="343" t="s">
        <v>666</v>
      </c>
    </row>
    <row r="142" spans="1:7" x14ac:dyDescent="0.25">
      <c r="A142" s="133" t="s">
        <v>628</v>
      </c>
      <c r="B142" s="133">
        <v>2005</v>
      </c>
      <c r="C142" s="133">
        <v>1</v>
      </c>
      <c r="D142" s="133">
        <v>1282</v>
      </c>
      <c r="E142" s="360">
        <v>1316.8587900000007</v>
      </c>
      <c r="F142" s="360">
        <f>D142/E142</f>
        <v>0.97352883219923625</v>
      </c>
      <c r="G142" s="360">
        <f>(F142+F154+F166)/3</f>
        <v>0.88885151648775729</v>
      </c>
    </row>
    <row r="143" spans="1:7" x14ac:dyDescent="0.25">
      <c r="A143" s="133" t="s">
        <v>629</v>
      </c>
      <c r="B143" s="133">
        <v>2005</v>
      </c>
      <c r="C143" s="133">
        <v>2</v>
      </c>
      <c r="D143" s="133">
        <v>1292.7</v>
      </c>
      <c r="E143" s="360">
        <v>1481.5516800000005</v>
      </c>
      <c r="F143" s="360">
        <f t="shared" ref="F143:F171" si="5">D143/E143</f>
        <v>0.87253115598370456</v>
      </c>
      <c r="G143" s="360">
        <f t="shared" ref="G143:G147" si="6">(F143+F155+F167)/3</f>
        <v>0.86706381707234215</v>
      </c>
    </row>
    <row r="144" spans="1:7" x14ac:dyDescent="0.25">
      <c r="A144" s="133" t="s">
        <v>630</v>
      </c>
      <c r="B144" s="133">
        <v>2005</v>
      </c>
      <c r="C144" s="133">
        <v>3</v>
      </c>
      <c r="D144" s="133">
        <v>1295</v>
      </c>
      <c r="E144" s="360">
        <v>1415.9208300000005</v>
      </c>
      <c r="F144" s="360">
        <f t="shared" si="5"/>
        <v>0.91459915876793729</v>
      </c>
      <c r="G144" s="360">
        <f t="shared" si="6"/>
        <v>0.89458880835443255</v>
      </c>
    </row>
    <row r="145" spans="1:8" x14ac:dyDescent="0.25">
      <c r="A145" s="133" t="s">
        <v>631</v>
      </c>
      <c r="B145" s="133">
        <v>2005</v>
      </c>
      <c r="C145" s="133">
        <v>4</v>
      </c>
      <c r="D145" s="133">
        <v>1392.6</v>
      </c>
      <c r="E145" s="360">
        <v>1686.9939900000004</v>
      </c>
      <c r="F145" s="360">
        <f t="shared" si="5"/>
        <v>0.82549197463353119</v>
      </c>
      <c r="G145" s="360">
        <f t="shared" si="6"/>
        <v>0.84739157150081523</v>
      </c>
    </row>
    <row r="146" spans="1:8" x14ac:dyDescent="0.25">
      <c r="A146" s="133" t="s">
        <v>632</v>
      </c>
      <c r="B146" s="133">
        <v>2005</v>
      </c>
      <c r="C146" s="133">
        <v>5</v>
      </c>
      <c r="D146" s="133">
        <v>1647.3</v>
      </c>
      <c r="E146" s="360">
        <v>1593.8907900000004</v>
      </c>
      <c r="F146" s="360">
        <f t="shared" si="5"/>
        <v>1.033508701057241</v>
      </c>
      <c r="G146" s="360">
        <f t="shared" si="6"/>
        <v>0.92578454397226706</v>
      </c>
    </row>
    <row r="147" spans="1:8" x14ac:dyDescent="0.25">
      <c r="A147" s="133" t="s">
        <v>633</v>
      </c>
      <c r="B147" s="133">
        <v>2005</v>
      </c>
      <c r="C147" s="133">
        <v>6</v>
      </c>
      <c r="D147" s="133">
        <v>1672.9</v>
      </c>
      <c r="E147" s="360">
        <v>1824.0360900000001</v>
      </c>
      <c r="F147" s="360">
        <f t="shared" si="5"/>
        <v>0.91714194097990687</v>
      </c>
      <c r="G147" s="360">
        <f t="shared" si="6"/>
        <v>0.94423599518010037</v>
      </c>
    </row>
    <row r="148" spans="1:8" x14ac:dyDescent="0.25">
      <c r="A148" s="133" t="s">
        <v>634</v>
      </c>
      <c r="B148" s="133">
        <v>2005</v>
      </c>
      <c r="C148" s="133">
        <v>7</v>
      </c>
      <c r="D148" s="133">
        <v>1660.5</v>
      </c>
      <c r="E148" s="360">
        <v>1765.7705400000004</v>
      </c>
      <c r="F148" s="360">
        <f t="shared" si="5"/>
        <v>0.94038266149802208</v>
      </c>
      <c r="G148" s="360">
        <f>(F148+G160)/2</f>
        <v>0.47019133074901104</v>
      </c>
    </row>
    <row r="149" spans="1:8" x14ac:dyDescent="0.25">
      <c r="A149" s="133" t="s">
        <v>635</v>
      </c>
      <c r="B149" s="133">
        <v>2005</v>
      </c>
      <c r="C149" s="133">
        <v>8</v>
      </c>
      <c r="D149" s="133">
        <v>2011.7</v>
      </c>
      <c r="E149" s="360">
        <v>1909.9425900000001</v>
      </c>
      <c r="F149" s="360">
        <f t="shared" si="5"/>
        <v>1.0532777322903721</v>
      </c>
      <c r="G149" s="360">
        <f t="shared" ref="G149:G153" si="7">(F149+G161)/2</f>
        <v>0.52663886614518607</v>
      </c>
    </row>
    <row r="150" spans="1:8" x14ac:dyDescent="0.25">
      <c r="A150" s="133" t="s">
        <v>636</v>
      </c>
      <c r="B150" s="133">
        <v>2005</v>
      </c>
      <c r="C150" s="133">
        <v>9</v>
      </c>
      <c r="D150" s="133">
        <v>2351.9</v>
      </c>
      <c r="E150" s="360">
        <v>1863.0762600000003</v>
      </c>
      <c r="F150" s="360">
        <f t="shared" si="5"/>
        <v>1.2623745203000976</v>
      </c>
      <c r="G150" s="360">
        <f t="shared" si="7"/>
        <v>0.63118726015004878</v>
      </c>
    </row>
    <row r="151" spans="1:8" x14ac:dyDescent="0.25">
      <c r="A151" s="133" t="s">
        <v>637</v>
      </c>
      <c r="B151" s="133">
        <v>2005</v>
      </c>
      <c r="C151" s="133">
        <v>10</v>
      </c>
      <c r="D151" s="133">
        <v>2513.9</v>
      </c>
      <c r="E151" s="360">
        <v>2007.6621</v>
      </c>
      <c r="F151" s="360">
        <f t="shared" si="5"/>
        <v>1.2521529394812005</v>
      </c>
      <c r="G151" s="360">
        <f t="shared" si="7"/>
        <v>0.62607646974060027</v>
      </c>
    </row>
    <row r="152" spans="1:8" x14ac:dyDescent="0.25">
      <c r="A152" s="133" t="s">
        <v>638</v>
      </c>
      <c r="B152" s="133">
        <v>2005</v>
      </c>
      <c r="C152" s="133">
        <v>11</v>
      </c>
      <c r="D152" s="133">
        <v>2468.5</v>
      </c>
      <c r="E152" s="360">
        <v>2132.1844500000002</v>
      </c>
      <c r="F152" s="360">
        <f t="shared" si="5"/>
        <v>1.1577328593687097</v>
      </c>
      <c r="G152" s="360">
        <f t="shared" si="7"/>
        <v>0.57886642968435487</v>
      </c>
    </row>
    <row r="153" spans="1:8" x14ac:dyDescent="0.25">
      <c r="A153" s="133" t="s">
        <v>639</v>
      </c>
      <c r="B153" s="133">
        <v>2005</v>
      </c>
      <c r="C153" s="133">
        <v>12</v>
      </c>
      <c r="D153" s="133">
        <v>2746.2</v>
      </c>
      <c r="E153" s="360">
        <v>2057.4621900000006</v>
      </c>
      <c r="F153" s="360">
        <f t="shared" si="5"/>
        <v>1.334751138245704</v>
      </c>
      <c r="G153" s="360">
        <f t="shared" si="7"/>
        <v>0.66737556912285201</v>
      </c>
    </row>
    <row r="154" spans="1:8" x14ac:dyDescent="0.25">
      <c r="A154" s="133" t="s">
        <v>628</v>
      </c>
      <c r="B154" s="133">
        <v>2006</v>
      </c>
      <c r="C154" s="133">
        <v>13</v>
      </c>
      <c r="D154" s="133">
        <v>1942.7</v>
      </c>
      <c r="E154" s="360">
        <v>2359.4732700000009</v>
      </c>
      <c r="F154" s="360">
        <f t="shared" si="5"/>
        <v>0.82336173276504176</v>
      </c>
      <c r="G154" s="363">
        <f>SUM(G142:G153)</f>
        <v>8.8682521781597679</v>
      </c>
      <c r="H154" t="s">
        <v>667</v>
      </c>
    </row>
    <row r="155" spans="1:8" x14ac:dyDescent="0.25">
      <c r="A155" s="133" t="s">
        <v>629</v>
      </c>
      <c r="B155" s="133">
        <v>2006</v>
      </c>
      <c r="C155" s="133">
        <v>14</v>
      </c>
      <c r="D155" s="133">
        <v>1901.1</v>
      </c>
      <c r="E155" s="360">
        <v>2241.1823400000003</v>
      </c>
      <c r="F155" s="360">
        <f t="shared" si="5"/>
        <v>0.84825762101980495</v>
      </c>
      <c r="G155" s="360"/>
    </row>
    <row r="156" spans="1:8" x14ac:dyDescent="0.25">
      <c r="A156" s="133" t="s">
        <v>630</v>
      </c>
      <c r="B156" s="133">
        <v>2006</v>
      </c>
      <c r="C156" s="133">
        <v>15</v>
      </c>
      <c r="D156" s="133">
        <v>1971.6</v>
      </c>
      <c r="E156" s="360">
        <v>2279.9970000000003</v>
      </c>
      <c r="F156" s="360">
        <f t="shared" si="5"/>
        <v>0.86473797991839452</v>
      </c>
      <c r="G156" s="360"/>
    </row>
    <row r="157" spans="1:8" x14ac:dyDescent="0.25">
      <c r="A157" s="133" t="s">
        <v>631</v>
      </c>
      <c r="B157" s="133">
        <v>2006</v>
      </c>
      <c r="C157" s="133">
        <v>16</v>
      </c>
      <c r="D157" s="133">
        <v>1989.1</v>
      </c>
      <c r="E157" s="360">
        <v>2496.6769499999996</v>
      </c>
      <c r="F157" s="360">
        <f t="shared" si="5"/>
        <v>0.79669898822913399</v>
      </c>
      <c r="G157" s="360"/>
    </row>
    <row r="158" spans="1:8" x14ac:dyDescent="0.25">
      <c r="A158" s="133" t="s">
        <v>632</v>
      </c>
      <c r="B158" s="133">
        <v>2006</v>
      </c>
      <c r="C158" s="133">
        <v>17</v>
      </c>
      <c r="D158" s="133">
        <v>2139.1999999999998</v>
      </c>
      <c r="E158" s="360">
        <v>2563.2196800000006</v>
      </c>
      <c r="F158" s="360">
        <f t="shared" si="5"/>
        <v>0.83457536499563678</v>
      </c>
      <c r="G158" s="360"/>
    </row>
    <row r="159" spans="1:8" x14ac:dyDescent="0.25">
      <c r="A159" s="133" t="s">
        <v>633</v>
      </c>
      <c r="B159" s="133">
        <v>2006</v>
      </c>
      <c r="C159" s="133">
        <v>18</v>
      </c>
      <c r="D159" s="133">
        <v>2474.1999999999998</v>
      </c>
      <c r="E159" s="360">
        <v>2545.6494600000001</v>
      </c>
      <c r="F159" s="360">
        <f t="shared" si="5"/>
        <v>0.97193271849769913</v>
      </c>
      <c r="G159" s="360"/>
    </row>
    <row r="160" spans="1:8" x14ac:dyDescent="0.25">
      <c r="A160" s="133" t="s">
        <v>634</v>
      </c>
      <c r="B160" s="133">
        <v>2006</v>
      </c>
      <c r="C160" s="133">
        <v>19</v>
      </c>
      <c r="D160" s="133">
        <v>2393.6</v>
      </c>
      <c r="E160" s="360">
        <v>2535.2056800000005</v>
      </c>
      <c r="F160" s="360">
        <f t="shared" si="5"/>
        <v>0.94414430311626607</v>
      </c>
      <c r="G160" s="360"/>
    </row>
    <row r="161" spans="1:7" x14ac:dyDescent="0.25">
      <c r="A161" s="133" t="s">
        <v>635</v>
      </c>
      <c r="B161" s="133">
        <v>2006</v>
      </c>
      <c r="C161" s="133">
        <v>20</v>
      </c>
      <c r="D161" s="133">
        <v>2990.1</v>
      </c>
      <c r="E161" s="360">
        <v>2794.4047200000005</v>
      </c>
      <c r="F161" s="360">
        <f t="shared" si="5"/>
        <v>1.0700311156073339</v>
      </c>
      <c r="G161" s="360"/>
    </row>
    <row r="162" spans="1:7" x14ac:dyDescent="0.25">
      <c r="A162" s="133" t="s">
        <v>636</v>
      </c>
      <c r="B162" s="133">
        <v>2006</v>
      </c>
      <c r="C162" s="133">
        <v>21</v>
      </c>
      <c r="D162" s="133">
        <v>3190.3</v>
      </c>
      <c r="E162" s="360">
        <v>2772.5413500000004</v>
      </c>
      <c r="F162" s="360">
        <f t="shared" si="5"/>
        <v>1.1506771576193082</v>
      </c>
      <c r="G162" s="360"/>
    </row>
    <row r="163" spans="1:7" x14ac:dyDescent="0.25">
      <c r="A163" s="133" t="s">
        <v>637</v>
      </c>
      <c r="B163" s="133">
        <v>2006</v>
      </c>
      <c r="C163" s="133">
        <v>22</v>
      </c>
      <c r="D163" s="133">
        <v>3400.4</v>
      </c>
      <c r="E163" s="360">
        <v>2880.2304300000005</v>
      </c>
      <c r="F163" s="360">
        <f t="shared" si="5"/>
        <v>1.1805999841477959</v>
      </c>
      <c r="G163" s="360"/>
    </row>
    <row r="164" spans="1:7" x14ac:dyDescent="0.25">
      <c r="A164" s="133" t="s">
        <v>638</v>
      </c>
      <c r="B164" s="133">
        <v>2006</v>
      </c>
      <c r="C164" s="133">
        <v>23</v>
      </c>
      <c r="D164" s="133">
        <v>3399.5</v>
      </c>
      <c r="E164" s="360">
        <v>2881.0580100000002</v>
      </c>
      <c r="F164" s="360">
        <f t="shared" si="5"/>
        <v>1.1799484731652452</v>
      </c>
      <c r="G164" s="360"/>
    </row>
    <row r="165" spans="1:7" x14ac:dyDescent="0.25">
      <c r="A165" s="133" t="s">
        <v>639</v>
      </c>
      <c r="B165" s="133">
        <v>2006</v>
      </c>
      <c r="C165" s="133">
        <v>24</v>
      </c>
      <c r="D165" s="133">
        <v>3793.9</v>
      </c>
      <c r="E165" s="360">
        <v>2831.6920800000003</v>
      </c>
      <c r="F165" s="360">
        <f t="shared" si="5"/>
        <v>1.3397996296263963</v>
      </c>
      <c r="G165" s="360"/>
    </row>
    <row r="166" spans="1:7" x14ac:dyDescent="0.25">
      <c r="A166" s="133" t="s">
        <v>628</v>
      </c>
      <c r="B166" s="133">
        <v>2007</v>
      </c>
      <c r="C166" s="133">
        <v>25</v>
      </c>
      <c r="D166" s="133">
        <v>2584.9</v>
      </c>
      <c r="E166" s="360">
        <v>2972.2974000000004</v>
      </c>
      <c r="F166" s="360">
        <f t="shared" si="5"/>
        <v>0.86966398449899385</v>
      </c>
      <c r="G166" s="360"/>
    </row>
    <row r="167" spans="1:7" x14ac:dyDescent="0.25">
      <c r="A167" s="133" t="s">
        <v>629</v>
      </c>
      <c r="B167" s="133">
        <v>2007</v>
      </c>
      <c r="C167" s="133">
        <v>26</v>
      </c>
      <c r="D167" s="133">
        <v>2451.6999999999998</v>
      </c>
      <c r="E167" s="360">
        <v>2784.7484700000005</v>
      </c>
      <c r="F167" s="360">
        <f t="shared" si="5"/>
        <v>0.88040267421351681</v>
      </c>
      <c r="G167" s="360"/>
    </row>
    <row r="168" spans="1:7" x14ac:dyDescent="0.25">
      <c r="A168" s="133" t="s">
        <v>630</v>
      </c>
      <c r="B168" s="133">
        <v>2007</v>
      </c>
      <c r="C168" s="133">
        <v>27</v>
      </c>
      <c r="D168" s="133">
        <v>2666</v>
      </c>
      <c r="E168" s="360">
        <v>2947.7152500000007</v>
      </c>
      <c r="F168" s="360">
        <f t="shared" si="5"/>
        <v>0.90442928637696585</v>
      </c>
      <c r="G168" s="360"/>
    </row>
    <row r="169" spans="1:7" x14ac:dyDescent="0.25">
      <c r="A169" s="133" t="s">
        <v>631</v>
      </c>
      <c r="B169" s="133">
        <v>2007</v>
      </c>
      <c r="C169" s="133">
        <v>28</v>
      </c>
      <c r="D169" s="133">
        <v>2670</v>
      </c>
      <c r="E169" s="360">
        <v>2902.2251700000002</v>
      </c>
      <c r="F169" s="360">
        <f t="shared" si="5"/>
        <v>0.91998375163978052</v>
      </c>
      <c r="G169" s="360"/>
    </row>
    <row r="170" spans="1:7" x14ac:dyDescent="0.25">
      <c r="A170" s="133" t="s">
        <v>632</v>
      </c>
      <c r="B170" s="133">
        <v>2007</v>
      </c>
      <c r="C170" s="133">
        <v>29</v>
      </c>
      <c r="D170" s="133">
        <v>2731.8</v>
      </c>
      <c r="E170" s="360">
        <v>3004.3895700000003</v>
      </c>
      <c r="F170" s="360">
        <f t="shared" si="5"/>
        <v>0.90926956586392349</v>
      </c>
      <c r="G170" s="360"/>
    </row>
    <row r="171" spans="1:7" x14ac:dyDescent="0.25">
      <c r="A171" s="133" t="s">
        <v>633</v>
      </c>
      <c r="B171" s="133">
        <v>2007</v>
      </c>
      <c r="C171" s="133">
        <v>30</v>
      </c>
      <c r="D171" s="133">
        <v>2983.8</v>
      </c>
      <c r="E171" s="360">
        <v>3162.0333000000001</v>
      </c>
      <c r="F171" s="360">
        <f t="shared" si="5"/>
        <v>0.94363332606269523</v>
      </c>
      <c r="G171" s="360"/>
    </row>
    <row r="173" spans="1:7" x14ac:dyDescent="0.25">
      <c r="A173" s="141" t="s">
        <v>669</v>
      </c>
    </row>
    <row r="175" spans="1:7" x14ac:dyDescent="0.25">
      <c r="A175" s="141" t="s">
        <v>670</v>
      </c>
    </row>
    <row r="177" spans="1:5" x14ac:dyDescent="0.25">
      <c r="A177" t="s">
        <v>671</v>
      </c>
    </row>
    <row r="179" spans="1:5" x14ac:dyDescent="0.25">
      <c r="B179" t="s">
        <v>672</v>
      </c>
      <c r="E179">
        <f>12/G154</f>
        <v>1.3531414938281665</v>
      </c>
    </row>
    <row r="181" spans="1:5" ht="45" x14ac:dyDescent="0.25">
      <c r="A181" s="307" t="s">
        <v>626</v>
      </c>
      <c r="B181" s="307" t="s">
        <v>422</v>
      </c>
      <c r="C181" s="307" t="s">
        <v>627</v>
      </c>
      <c r="D181" s="359" t="s">
        <v>659</v>
      </c>
      <c r="E181" s="359" t="s">
        <v>665</v>
      </c>
    </row>
    <row r="182" spans="1:5" x14ac:dyDescent="0.25">
      <c r="A182" s="133" t="s">
        <v>628</v>
      </c>
      <c r="B182" s="133">
        <v>2005</v>
      </c>
      <c r="C182" s="133">
        <v>1</v>
      </c>
      <c r="D182" s="360">
        <v>0.88885151648775729</v>
      </c>
      <c r="E182" s="360">
        <f>D182*$E$179</f>
        <v>1.2027418688116751</v>
      </c>
    </row>
    <row r="183" spans="1:5" x14ac:dyDescent="0.25">
      <c r="A183" s="133" t="s">
        <v>629</v>
      </c>
      <c r="B183" s="133">
        <v>2005</v>
      </c>
      <c r="C183" s="133">
        <v>2</v>
      </c>
      <c r="D183" s="360">
        <v>0.86706381707234215</v>
      </c>
      <c r="E183" s="360">
        <f t="shared" ref="E183:E193" si="8">D183*$E$179</f>
        <v>1.1732600286776211</v>
      </c>
    </row>
    <row r="184" spans="1:5" x14ac:dyDescent="0.25">
      <c r="A184" s="133" t="s">
        <v>630</v>
      </c>
      <c r="B184" s="133">
        <v>2005</v>
      </c>
      <c r="C184" s="133">
        <v>3</v>
      </c>
      <c r="D184" s="360">
        <v>0.89458880835443255</v>
      </c>
      <c r="E184" s="360">
        <f t="shared" si="8"/>
        <v>1.2105052364986761</v>
      </c>
    </row>
    <row r="185" spans="1:5" x14ac:dyDescent="0.25">
      <c r="A185" s="133" t="s">
        <v>631</v>
      </c>
      <c r="B185" s="133">
        <v>2005</v>
      </c>
      <c r="C185" s="133">
        <v>4</v>
      </c>
      <c r="D185" s="360">
        <v>0.84739157150081523</v>
      </c>
      <c r="E185" s="360">
        <f t="shared" si="8"/>
        <v>1.1466406969180107</v>
      </c>
    </row>
    <row r="186" spans="1:5" x14ac:dyDescent="0.25">
      <c r="A186" s="133" t="s">
        <v>632</v>
      </c>
      <c r="B186" s="133">
        <v>2005</v>
      </c>
      <c r="C186" s="133">
        <v>5</v>
      </c>
      <c r="D186" s="360">
        <v>0.92578454397226706</v>
      </c>
      <c r="E186" s="360">
        <f t="shared" si="8"/>
        <v>1.2527174807936614</v>
      </c>
    </row>
    <row r="187" spans="1:5" x14ac:dyDescent="0.25">
      <c r="A187" s="133" t="s">
        <v>633</v>
      </c>
      <c r="B187" s="133">
        <v>2005</v>
      </c>
      <c r="C187" s="133">
        <v>6</v>
      </c>
      <c r="D187" s="360">
        <v>0.94423599518010037</v>
      </c>
      <c r="E187" s="360">
        <f t="shared" si="8"/>
        <v>1.2776849050443264</v>
      </c>
    </row>
    <row r="188" spans="1:5" x14ac:dyDescent="0.25">
      <c r="A188" s="225" t="s">
        <v>634</v>
      </c>
      <c r="B188" s="225">
        <v>2005</v>
      </c>
      <c r="C188" s="225">
        <v>7</v>
      </c>
      <c r="D188" s="360">
        <v>0.47019133074901104</v>
      </c>
      <c r="E188" s="360">
        <f t="shared" si="8"/>
        <v>0.63623539967477027</v>
      </c>
    </row>
    <row r="189" spans="1:5" x14ac:dyDescent="0.25">
      <c r="A189" s="133" t="s">
        <v>635</v>
      </c>
      <c r="B189" s="133">
        <v>2005</v>
      </c>
      <c r="C189" s="133">
        <v>8</v>
      </c>
      <c r="D189" s="360">
        <v>0.52663886614518607</v>
      </c>
      <c r="E189" s="360">
        <f t="shared" si="8"/>
        <v>0.7126169020436689</v>
      </c>
    </row>
    <row r="190" spans="1:5" x14ac:dyDescent="0.25">
      <c r="A190" s="133" t="s">
        <v>636</v>
      </c>
      <c r="B190" s="133">
        <v>2005</v>
      </c>
      <c r="C190" s="133">
        <v>9</v>
      </c>
      <c r="D190" s="360">
        <v>0.63118726015004878</v>
      </c>
      <c r="E190" s="360">
        <f t="shared" si="8"/>
        <v>0.85408567208474451</v>
      </c>
    </row>
    <row r="191" spans="1:5" x14ac:dyDescent="0.25">
      <c r="A191" s="166" t="s">
        <v>637</v>
      </c>
      <c r="B191" s="166">
        <v>2005</v>
      </c>
      <c r="C191" s="166">
        <v>10</v>
      </c>
      <c r="D191" s="360">
        <v>0.62607646974060027</v>
      </c>
      <c r="E191" s="360">
        <f t="shared" si="8"/>
        <v>0.84717004951546071</v>
      </c>
    </row>
    <row r="192" spans="1:5" x14ac:dyDescent="0.25">
      <c r="A192" s="222" t="s">
        <v>638</v>
      </c>
      <c r="B192" s="222">
        <v>2005</v>
      </c>
      <c r="C192" s="222">
        <v>11</v>
      </c>
      <c r="D192" s="360">
        <v>0.57886642968435487</v>
      </c>
      <c r="E192" s="360">
        <f t="shared" si="8"/>
        <v>0.78328818539006528</v>
      </c>
    </row>
    <row r="193" spans="1:10" x14ac:dyDescent="0.25">
      <c r="A193" s="225" t="s">
        <v>639</v>
      </c>
      <c r="B193" s="225">
        <v>2005</v>
      </c>
      <c r="C193" s="225">
        <v>12</v>
      </c>
      <c r="D193" s="360">
        <v>0.66737556912285201</v>
      </c>
      <c r="E193" s="360">
        <f t="shared" si="8"/>
        <v>0.90305357454731872</v>
      </c>
    </row>
    <row r="194" spans="1:10" x14ac:dyDescent="0.25">
      <c r="D194" t="s">
        <v>475</v>
      </c>
      <c r="E194" s="117">
        <f>SUM(E182:E193)</f>
        <v>11.999999999999998</v>
      </c>
    </row>
    <row r="196" spans="1:10" ht="34.5" customHeight="1" x14ac:dyDescent="0.25">
      <c r="A196" s="489" t="s">
        <v>691</v>
      </c>
      <c r="B196" s="489"/>
      <c r="C196" s="489"/>
      <c r="D196" s="489"/>
      <c r="E196" s="489"/>
      <c r="F196" s="489"/>
      <c r="G196" s="489"/>
      <c r="H196" s="489"/>
      <c r="I196" s="489"/>
    </row>
    <row r="197" spans="1:10" x14ac:dyDescent="0.25">
      <c r="A197" s="141" t="s">
        <v>673</v>
      </c>
    </row>
    <row r="199" spans="1:10" x14ac:dyDescent="0.25">
      <c r="B199" s="141" t="s">
        <v>674</v>
      </c>
    </row>
    <row r="201" spans="1:10" s="115" customFormat="1" ht="75" x14ac:dyDescent="0.25">
      <c r="A201" s="364" t="s">
        <v>626</v>
      </c>
      <c r="B201" s="364" t="s">
        <v>422</v>
      </c>
      <c r="C201" s="364" t="s">
        <v>627</v>
      </c>
      <c r="D201" s="364" t="s">
        <v>650</v>
      </c>
      <c r="E201" s="364" t="s">
        <v>655</v>
      </c>
      <c r="F201" s="364" t="s">
        <v>665</v>
      </c>
      <c r="G201" s="364" t="s">
        <v>675</v>
      </c>
      <c r="H201" s="364" t="s">
        <v>676</v>
      </c>
      <c r="I201" s="364" t="s">
        <v>609</v>
      </c>
      <c r="J201" s="364" t="s">
        <v>677</v>
      </c>
    </row>
    <row r="202" spans="1:10" x14ac:dyDescent="0.25">
      <c r="A202" s="365" t="s">
        <v>628</v>
      </c>
      <c r="B202" s="365">
        <v>2005</v>
      </c>
      <c r="C202" s="365">
        <v>1</v>
      </c>
      <c r="D202" s="365">
        <v>1282</v>
      </c>
      <c r="E202" s="365">
        <v>1316.8587900000007</v>
      </c>
      <c r="F202" s="365">
        <v>-341.99994138888917</v>
      </c>
      <c r="G202" s="365">
        <f>E202+F202</f>
        <v>974.85884861111151</v>
      </c>
      <c r="H202" s="365">
        <f>D202-G202</f>
        <v>307.14115138888849</v>
      </c>
      <c r="I202" s="365">
        <f>ABS(H202)</f>
        <v>307.14115138888849</v>
      </c>
      <c r="J202" s="366">
        <f>I202/D202</f>
        <v>0.23957968127058385</v>
      </c>
    </row>
    <row r="203" spans="1:10" x14ac:dyDescent="0.25">
      <c r="A203" s="365" t="s">
        <v>629</v>
      </c>
      <c r="B203" s="365">
        <v>2005</v>
      </c>
      <c r="C203" s="365">
        <v>2</v>
      </c>
      <c r="D203" s="365">
        <v>1292.7</v>
      </c>
      <c r="E203" s="365">
        <v>1481.5516800000005</v>
      </c>
      <c r="F203" s="365">
        <v>-349.6509513888891</v>
      </c>
      <c r="G203" s="365">
        <f t="shared" ref="G203:G212" si="9">E203+F203</f>
        <v>1131.9007286111114</v>
      </c>
      <c r="H203" s="365">
        <f t="shared" ref="H203:H231" si="10">D203-G203</f>
        <v>160.79927138888866</v>
      </c>
      <c r="I203" s="365">
        <f t="shared" ref="I203:I231" si="11">ABS(H203)</f>
        <v>160.79927138888866</v>
      </c>
      <c r="J203" s="366">
        <f t="shared" ref="J203:J231" si="12">I203/D203</f>
        <v>0.1243902462975854</v>
      </c>
    </row>
    <row r="204" spans="1:10" x14ac:dyDescent="0.25">
      <c r="A204" s="365" t="s">
        <v>630</v>
      </c>
      <c r="B204" s="365">
        <v>2005</v>
      </c>
      <c r="C204" s="365">
        <v>3</v>
      </c>
      <c r="D204" s="365">
        <v>1295</v>
      </c>
      <c r="E204" s="365">
        <v>1415.9208300000005</v>
      </c>
      <c r="F204" s="365">
        <v>-299.33448138888906</v>
      </c>
      <c r="G204" s="365">
        <f t="shared" si="9"/>
        <v>1116.5863486111114</v>
      </c>
      <c r="H204" s="365">
        <f t="shared" si="10"/>
        <v>178.41365138888864</v>
      </c>
      <c r="I204" s="365">
        <f t="shared" si="11"/>
        <v>178.41365138888864</v>
      </c>
      <c r="J204" s="366">
        <f t="shared" si="12"/>
        <v>0.13777115937365919</v>
      </c>
    </row>
    <row r="205" spans="1:10" x14ac:dyDescent="0.25">
      <c r="A205" s="365" t="s">
        <v>631</v>
      </c>
      <c r="B205" s="365">
        <v>2005</v>
      </c>
      <c r="C205" s="365">
        <v>4</v>
      </c>
      <c r="D205" s="365">
        <v>1392.6</v>
      </c>
      <c r="E205" s="365">
        <v>1686.9939900000004</v>
      </c>
      <c r="F205" s="365">
        <v>-407.0554913888887</v>
      </c>
      <c r="G205" s="365">
        <f t="shared" si="9"/>
        <v>1279.9384986111118</v>
      </c>
      <c r="H205" s="365">
        <f t="shared" si="10"/>
        <v>112.66150138888815</v>
      </c>
      <c r="I205" s="365">
        <f t="shared" si="11"/>
        <v>112.66150138888815</v>
      </c>
      <c r="J205" s="366">
        <f t="shared" si="12"/>
        <v>8.090011589034049E-2</v>
      </c>
    </row>
    <row r="206" spans="1:10" x14ac:dyDescent="0.25">
      <c r="A206" s="365" t="s">
        <v>632</v>
      </c>
      <c r="B206" s="365">
        <v>2005</v>
      </c>
      <c r="C206" s="365">
        <v>5</v>
      </c>
      <c r="D206" s="365">
        <v>1647.3</v>
      </c>
      <c r="E206" s="365">
        <v>1593.8907900000004</v>
      </c>
      <c r="F206" s="365">
        <v>-276.72346805555566</v>
      </c>
      <c r="G206" s="365">
        <f t="shared" si="9"/>
        <v>1317.1673219444447</v>
      </c>
      <c r="H206" s="365">
        <f t="shared" si="10"/>
        <v>330.13267805555529</v>
      </c>
      <c r="I206" s="365">
        <f t="shared" si="11"/>
        <v>330.13267805555529</v>
      </c>
      <c r="J206" s="366">
        <f t="shared" si="12"/>
        <v>0.20040835188220441</v>
      </c>
    </row>
    <row r="207" spans="1:10" x14ac:dyDescent="0.25">
      <c r="A207" s="365" t="s">
        <v>633</v>
      </c>
      <c r="B207" s="365">
        <v>2005</v>
      </c>
      <c r="C207" s="365">
        <v>6</v>
      </c>
      <c r="D207" s="365">
        <v>1672.9</v>
      </c>
      <c r="E207" s="365">
        <v>1824.0360900000001</v>
      </c>
      <c r="F207" s="365">
        <v>-195.92973805555528</v>
      </c>
      <c r="G207" s="365">
        <f t="shared" si="9"/>
        <v>1628.1063519444447</v>
      </c>
      <c r="H207" s="365">
        <f t="shared" si="10"/>
        <v>44.793648055555423</v>
      </c>
      <c r="I207" s="365">
        <f t="shared" si="11"/>
        <v>44.793648055555423</v>
      </c>
      <c r="J207" s="366">
        <f t="shared" si="12"/>
        <v>2.6776046419723486E-2</v>
      </c>
    </row>
    <row r="208" spans="1:10" x14ac:dyDescent="0.25">
      <c r="A208" s="365" t="s">
        <v>634</v>
      </c>
      <c r="B208" s="365">
        <v>2005</v>
      </c>
      <c r="C208" s="365">
        <v>7</v>
      </c>
      <c r="D208" s="365">
        <v>1660.5</v>
      </c>
      <c r="E208" s="365">
        <v>1765.7705400000004</v>
      </c>
      <c r="F208" s="365">
        <v>-185.7615647222224</v>
      </c>
      <c r="G208" s="365">
        <f t="shared" si="9"/>
        <v>1580.0089752777781</v>
      </c>
      <c r="H208" s="365">
        <f t="shared" si="10"/>
        <v>80.491024722221937</v>
      </c>
      <c r="I208" s="365">
        <f t="shared" si="11"/>
        <v>80.491024722221937</v>
      </c>
      <c r="J208" s="366">
        <f t="shared" si="12"/>
        <v>4.8473968516845489E-2</v>
      </c>
    </row>
    <row r="209" spans="1:10" x14ac:dyDescent="0.25">
      <c r="A209" s="365" t="s">
        <v>635</v>
      </c>
      <c r="B209" s="365">
        <v>2005</v>
      </c>
      <c r="C209" s="365">
        <v>8</v>
      </c>
      <c r="D209" s="365">
        <v>2011.7</v>
      </c>
      <c r="E209" s="365">
        <v>1909.9425900000001</v>
      </c>
      <c r="F209" s="365">
        <v>86.4028902777778</v>
      </c>
      <c r="G209" s="365">
        <f t="shared" si="9"/>
        <v>1996.3454802777778</v>
      </c>
      <c r="H209" s="365">
        <f t="shared" si="10"/>
        <v>15.354519722222221</v>
      </c>
      <c r="I209" s="365">
        <f t="shared" si="11"/>
        <v>15.354519722222221</v>
      </c>
      <c r="J209" s="366">
        <f t="shared" si="12"/>
        <v>7.6326090978884632E-3</v>
      </c>
    </row>
    <row r="210" spans="1:10" x14ac:dyDescent="0.25">
      <c r="A210" s="365" t="s">
        <v>636</v>
      </c>
      <c r="B210" s="365">
        <v>2005</v>
      </c>
      <c r="C210" s="365">
        <v>9</v>
      </c>
      <c r="D210" s="365">
        <v>2351.9</v>
      </c>
      <c r="E210" s="365">
        <v>1863.0762600000003</v>
      </c>
      <c r="F210" s="365">
        <v>390.96774027777786</v>
      </c>
      <c r="G210" s="365">
        <f t="shared" si="9"/>
        <v>2254.0440002777782</v>
      </c>
      <c r="H210" s="365">
        <f t="shared" si="10"/>
        <v>97.855999722221895</v>
      </c>
      <c r="I210" s="365">
        <f t="shared" si="11"/>
        <v>97.855999722221895</v>
      </c>
      <c r="J210" s="366">
        <f t="shared" si="12"/>
        <v>4.1607211072844034E-2</v>
      </c>
    </row>
    <row r="211" spans="1:10" x14ac:dyDescent="0.25">
      <c r="A211" s="365" t="s">
        <v>637</v>
      </c>
      <c r="B211" s="365">
        <v>2005</v>
      </c>
      <c r="C211" s="365">
        <v>10</v>
      </c>
      <c r="D211" s="365">
        <v>2513.9</v>
      </c>
      <c r="E211" s="365">
        <v>2007.6621</v>
      </c>
      <c r="F211" s="365">
        <v>450.8802802777779</v>
      </c>
      <c r="G211" s="365">
        <f t="shared" si="9"/>
        <v>2458.5423802777777</v>
      </c>
      <c r="H211" s="365">
        <f t="shared" si="10"/>
        <v>55.357619722222353</v>
      </c>
      <c r="I211" s="365">
        <f t="shared" si="11"/>
        <v>55.357619722222353</v>
      </c>
      <c r="J211" s="366">
        <f t="shared" si="12"/>
        <v>2.2020613279057383E-2</v>
      </c>
    </row>
    <row r="212" spans="1:10" x14ac:dyDescent="0.25">
      <c r="A212" s="365" t="s">
        <v>638</v>
      </c>
      <c r="B212" s="365">
        <v>2005</v>
      </c>
      <c r="C212" s="365">
        <v>11</v>
      </c>
      <c r="D212" s="365">
        <v>2468.5</v>
      </c>
      <c r="E212" s="365">
        <v>2132.1844500000002</v>
      </c>
      <c r="F212" s="365">
        <v>365.05531527777788</v>
      </c>
      <c r="G212" s="365">
        <f t="shared" si="9"/>
        <v>2497.2397652777781</v>
      </c>
      <c r="H212" s="365">
        <f t="shared" si="10"/>
        <v>-28.739765277778133</v>
      </c>
      <c r="I212" s="365">
        <f t="shared" si="11"/>
        <v>28.739765277778133</v>
      </c>
      <c r="J212" s="366">
        <f t="shared" si="12"/>
        <v>1.164260290774889E-2</v>
      </c>
    </row>
    <row r="213" spans="1:10" x14ac:dyDescent="0.25">
      <c r="A213" s="365" t="s">
        <v>639</v>
      </c>
      <c r="B213" s="365">
        <v>2005</v>
      </c>
      <c r="C213" s="365">
        <v>12</v>
      </c>
      <c r="D213" s="365">
        <v>2746.2</v>
      </c>
      <c r="E213" s="365">
        <v>2057.4621900000006</v>
      </c>
      <c r="F213" s="365">
        <v>763.14941027777763</v>
      </c>
      <c r="G213" s="365">
        <f>E213+F213</f>
        <v>2820.6116002777781</v>
      </c>
      <c r="H213" s="365">
        <f t="shared" si="10"/>
        <v>-74.411600277778234</v>
      </c>
      <c r="I213" s="365">
        <f t="shared" si="11"/>
        <v>74.411600277778234</v>
      </c>
      <c r="J213" s="366">
        <f t="shared" si="12"/>
        <v>2.7096205767161256E-2</v>
      </c>
    </row>
    <row r="214" spans="1:10" x14ac:dyDescent="0.25">
      <c r="A214" s="365" t="s">
        <v>628</v>
      </c>
      <c r="B214" s="365">
        <v>2006</v>
      </c>
      <c r="C214" s="365">
        <v>13</v>
      </c>
      <c r="D214" s="365">
        <v>1942.7</v>
      </c>
      <c r="E214" s="365">
        <v>2359.4732700000009</v>
      </c>
      <c r="F214" s="365"/>
      <c r="G214" s="365">
        <f>E214+F202</f>
        <v>2017.4733286111118</v>
      </c>
      <c r="H214" s="365">
        <f t="shared" si="10"/>
        <v>-74.773328611111765</v>
      </c>
      <c r="I214" s="365">
        <f t="shared" si="11"/>
        <v>74.773328611111765</v>
      </c>
      <c r="J214" s="366">
        <f t="shared" si="12"/>
        <v>3.8489385191286231E-2</v>
      </c>
    </row>
    <row r="215" spans="1:10" x14ac:dyDescent="0.25">
      <c r="A215" s="365" t="s">
        <v>629</v>
      </c>
      <c r="B215" s="365">
        <v>2006</v>
      </c>
      <c r="C215" s="365">
        <v>14</v>
      </c>
      <c r="D215" s="365">
        <v>1901.1</v>
      </c>
      <c r="E215" s="365">
        <v>2241.1823400000003</v>
      </c>
      <c r="F215" s="365"/>
      <c r="G215" s="365">
        <f>E215+F203</f>
        <v>1891.5313886111112</v>
      </c>
      <c r="H215" s="365">
        <f t="shared" si="10"/>
        <v>9.5686113888887121</v>
      </c>
      <c r="I215" s="365">
        <f t="shared" si="11"/>
        <v>9.5686113888887121</v>
      </c>
      <c r="J215" s="366">
        <f t="shared" si="12"/>
        <v>5.0331973009777034E-3</v>
      </c>
    </row>
    <row r="216" spans="1:10" x14ac:dyDescent="0.25">
      <c r="A216" s="365" t="s">
        <v>630</v>
      </c>
      <c r="B216" s="365">
        <v>2006</v>
      </c>
      <c r="C216" s="365">
        <v>15</v>
      </c>
      <c r="D216" s="365">
        <v>1971.6</v>
      </c>
      <c r="E216" s="365">
        <v>2279.9970000000003</v>
      </c>
      <c r="F216" s="365"/>
      <c r="G216" s="365">
        <f t="shared" ref="G216:G225" si="13">E216+F204</f>
        <v>1980.6625186111112</v>
      </c>
      <c r="H216" s="365">
        <f t="shared" si="10"/>
        <v>-9.0625186111112725</v>
      </c>
      <c r="I216" s="365">
        <f t="shared" si="11"/>
        <v>9.0625186111112725</v>
      </c>
      <c r="J216" s="366">
        <f t="shared" si="12"/>
        <v>4.5965300320101807E-3</v>
      </c>
    </row>
    <row r="217" spans="1:10" x14ac:dyDescent="0.25">
      <c r="A217" s="365" t="s">
        <v>631</v>
      </c>
      <c r="B217" s="365">
        <v>2006</v>
      </c>
      <c r="C217" s="365">
        <v>16</v>
      </c>
      <c r="D217" s="365">
        <v>1989.1</v>
      </c>
      <c r="E217" s="365">
        <v>2496.6769499999996</v>
      </c>
      <c r="F217" s="365"/>
      <c r="G217" s="365">
        <f t="shared" si="13"/>
        <v>2089.6214586111109</v>
      </c>
      <c r="H217" s="365">
        <f t="shared" si="10"/>
        <v>-100.52145861111103</v>
      </c>
      <c r="I217" s="365">
        <f t="shared" si="11"/>
        <v>100.52145861111103</v>
      </c>
      <c r="J217" s="366">
        <f t="shared" si="12"/>
        <v>5.053615133030568E-2</v>
      </c>
    </row>
    <row r="218" spans="1:10" x14ac:dyDescent="0.25">
      <c r="A218" s="365" t="s">
        <v>632</v>
      </c>
      <c r="B218" s="365">
        <v>2006</v>
      </c>
      <c r="C218" s="365">
        <v>17</v>
      </c>
      <c r="D218" s="365">
        <v>2139.1999999999998</v>
      </c>
      <c r="E218" s="365">
        <v>2563.2196800000006</v>
      </c>
      <c r="F218" s="365"/>
      <c r="G218" s="365">
        <f t="shared" si="13"/>
        <v>2286.4962119444449</v>
      </c>
      <c r="H218" s="365">
        <f t="shared" si="10"/>
        <v>-147.29621194444508</v>
      </c>
      <c r="I218" s="365">
        <f t="shared" si="11"/>
        <v>147.29621194444508</v>
      </c>
      <c r="J218" s="366">
        <f t="shared" si="12"/>
        <v>6.8855746047328484E-2</v>
      </c>
    </row>
    <row r="219" spans="1:10" x14ac:dyDescent="0.25">
      <c r="A219" s="365" t="s">
        <v>633</v>
      </c>
      <c r="B219" s="365">
        <v>2006</v>
      </c>
      <c r="C219" s="365">
        <v>18</v>
      </c>
      <c r="D219" s="365">
        <v>2474.1999999999998</v>
      </c>
      <c r="E219" s="365">
        <v>2545.6494600000001</v>
      </c>
      <c r="F219" s="365"/>
      <c r="G219" s="365">
        <f t="shared" si="13"/>
        <v>2349.7197219444447</v>
      </c>
      <c r="H219" s="365">
        <f t="shared" si="10"/>
        <v>124.48027805555512</v>
      </c>
      <c r="I219" s="365">
        <f t="shared" si="11"/>
        <v>124.48027805555512</v>
      </c>
      <c r="J219" s="366">
        <f t="shared" si="12"/>
        <v>5.0311324086797803E-2</v>
      </c>
    </row>
    <row r="220" spans="1:10" x14ac:dyDescent="0.25">
      <c r="A220" s="365" t="s">
        <v>634</v>
      </c>
      <c r="B220" s="365">
        <v>2006</v>
      </c>
      <c r="C220" s="365">
        <v>19</v>
      </c>
      <c r="D220" s="365">
        <v>2393.6</v>
      </c>
      <c r="E220" s="365">
        <v>2535.2056800000005</v>
      </c>
      <c r="F220" s="365"/>
      <c r="G220" s="365">
        <f t="shared" si="13"/>
        <v>2349.4441152777781</v>
      </c>
      <c r="H220" s="365">
        <f t="shared" si="10"/>
        <v>44.155884722221799</v>
      </c>
      <c r="I220" s="365">
        <f t="shared" si="11"/>
        <v>44.155884722221799</v>
      </c>
      <c r="J220" s="366">
        <f t="shared" si="12"/>
        <v>1.8447478577131433E-2</v>
      </c>
    </row>
    <row r="221" spans="1:10" x14ac:dyDescent="0.25">
      <c r="A221" s="365" t="s">
        <v>635</v>
      </c>
      <c r="B221" s="365">
        <v>2006</v>
      </c>
      <c r="C221" s="365">
        <v>20</v>
      </c>
      <c r="D221" s="365">
        <v>2990.1</v>
      </c>
      <c r="E221" s="365">
        <v>2794.4047200000005</v>
      </c>
      <c r="F221" s="365"/>
      <c r="G221" s="365">
        <f t="shared" si="13"/>
        <v>2880.8076102777782</v>
      </c>
      <c r="H221" s="365">
        <f t="shared" si="10"/>
        <v>109.29238972222174</v>
      </c>
      <c r="I221" s="365">
        <f t="shared" si="11"/>
        <v>109.29238972222174</v>
      </c>
      <c r="J221" s="366">
        <f t="shared" si="12"/>
        <v>3.6551416247691294E-2</v>
      </c>
    </row>
    <row r="222" spans="1:10" x14ac:dyDescent="0.25">
      <c r="A222" s="365" t="s">
        <v>636</v>
      </c>
      <c r="B222" s="365">
        <v>2006</v>
      </c>
      <c r="C222" s="365">
        <v>21</v>
      </c>
      <c r="D222" s="365">
        <v>3190.3</v>
      </c>
      <c r="E222" s="365">
        <v>2772.5413500000004</v>
      </c>
      <c r="F222" s="365"/>
      <c r="G222" s="365">
        <f t="shared" si="13"/>
        <v>3163.5090902777783</v>
      </c>
      <c r="H222" s="365">
        <f t="shared" si="10"/>
        <v>26.790909722221841</v>
      </c>
      <c r="I222" s="365">
        <f t="shared" si="11"/>
        <v>26.790909722221841</v>
      </c>
      <c r="J222" s="366">
        <f t="shared" si="12"/>
        <v>8.3976145573212042E-3</v>
      </c>
    </row>
    <row r="223" spans="1:10" x14ac:dyDescent="0.25">
      <c r="A223" s="365" t="s">
        <v>637</v>
      </c>
      <c r="B223" s="365">
        <v>2006</v>
      </c>
      <c r="C223" s="365">
        <v>22</v>
      </c>
      <c r="D223" s="365">
        <v>3400.4</v>
      </c>
      <c r="E223" s="365">
        <v>2880.2304300000005</v>
      </c>
      <c r="F223" s="365"/>
      <c r="G223" s="365">
        <f t="shared" si="13"/>
        <v>3331.1107102777783</v>
      </c>
      <c r="H223" s="365">
        <f t="shared" si="10"/>
        <v>69.289289722221838</v>
      </c>
      <c r="I223" s="365">
        <f t="shared" si="11"/>
        <v>69.289289722221838</v>
      </c>
      <c r="J223" s="366">
        <f t="shared" si="12"/>
        <v>2.0376805588231336E-2</v>
      </c>
    </row>
    <row r="224" spans="1:10" x14ac:dyDescent="0.25">
      <c r="A224" s="365" t="s">
        <v>638</v>
      </c>
      <c r="B224" s="365">
        <v>2006</v>
      </c>
      <c r="C224" s="365">
        <v>23</v>
      </c>
      <c r="D224" s="365">
        <v>3399.5</v>
      </c>
      <c r="E224" s="365">
        <v>2881.0580100000002</v>
      </c>
      <c r="F224" s="365"/>
      <c r="G224" s="365">
        <f t="shared" si="13"/>
        <v>3246.1133252777781</v>
      </c>
      <c r="H224" s="365">
        <f t="shared" si="10"/>
        <v>153.38667472222187</v>
      </c>
      <c r="I224" s="365">
        <f t="shared" si="11"/>
        <v>153.38667472222187</v>
      </c>
      <c r="J224" s="366">
        <f t="shared" si="12"/>
        <v>4.5120363207007463E-2</v>
      </c>
    </row>
    <row r="225" spans="1:10" x14ac:dyDescent="0.25">
      <c r="A225" s="365" t="s">
        <v>639</v>
      </c>
      <c r="B225" s="365">
        <v>2006</v>
      </c>
      <c r="C225" s="365">
        <v>24</v>
      </c>
      <c r="D225" s="365">
        <v>3793.9</v>
      </c>
      <c r="E225" s="365">
        <v>2831.6920800000003</v>
      </c>
      <c r="F225" s="365"/>
      <c r="G225" s="365">
        <f t="shared" si="13"/>
        <v>3594.8414902777777</v>
      </c>
      <c r="H225" s="365">
        <f t="shared" si="10"/>
        <v>199.05850972222242</v>
      </c>
      <c r="I225" s="365">
        <f t="shared" si="11"/>
        <v>199.05850972222242</v>
      </c>
      <c r="J225" s="366">
        <f t="shared" si="12"/>
        <v>5.2468043364933818E-2</v>
      </c>
    </row>
    <row r="226" spans="1:10" x14ac:dyDescent="0.25">
      <c r="A226" s="365" t="s">
        <v>628</v>
      </c>
      <c r="B226" s="365">
        <v>2007</v>
      </c>
      <c r="C226" s="365">
        <v>25</v>
      </c>
      <c r="D226" s="365">
        <v>2584.9</v>
      </c>
      <c r="E226" s="365">
        <v>2972.2974000000004</v>
      </c>
      <c r="F226" s="365"/>
      <c r="G226" s="365">
        <f>E226+F202</f>
        <v>2630.2974586111113</v>
      </c>
      <c r="H226" s="365">
        <f t="shared" si="10"/>
        <v>-45.397458611111233</v>
      </c>
      <c r="I226" s="365">
        <f t="shared" si="11"/>
        <v>45.397458611111233</v>
      </c>
      <c r="J226" s="366">
        <f t="shared" si="12"/>
        <v>1.7562558942748746E-2</v>
      </c>
    </row>
    <row r="227" spans="1:10" x14ac:dyDescent="0.25">
      <c r="A227" s="365" t="s">
        <v>629</v>
      </c>
      <c r="B227" s="365">
        <v>2007</v>
      </c>
      <c r="C227" s="365">
        <v>26</v>
      </c>
      <c r="D227" s="365">
        <v>2451.6999999999998</v>
      </c>
      <c r="E227" s="365">
        <v>2784.7484700000005</v>
      </c>
      <c r="F227" s="365"/>
      <c r="G227" s="365">
        <f t="shared" ref="G227:G231" si="14">E227+F203</f>
        <v>2435.0975186111114</v>
      </c>
      <c r="H227" s="365">
        <f t="shared" si="10"/>
        <v>16.602481388888464</v>
      </c>
      <c r="I227" s="365">
        <f t="shared" si="11"/>
        <v>16.602481388888464</v>
      </c>
      <c r="J227" s="366">
        <f t="shared" si="12"/>
        <v>6.7718241990816436E-3</v>
      </c>
    </row>
    <row r="228" spans="1:10" x14ac:dyDescent="0.25">
      <c r="A228" s="365" t="s">
        <v>630</v>
      </c>
      <c r="B228" s="365">
        <v>2007</v>
      </c>
      <c r="C228" s="365">
        <v>27</v>
      </c>
      <c r="D228" s="365">
        <v>2666</v>
      </c>
      <c r="E228" s="365">
        <v>2947.7152500000007</v>
      </c>
      <c r="F228" s="365"/>
      <c r="G228" s="365">
        <f t="shared" si="14"/>
        <v>2648.3807686111118</v>
      </c>
      <c r="H228" s="365">
        <f t="shared" si="10"/>
        <v>17.619231388888238</v>
      </c>
      <c r="I228" s="365">
        <f t="shared" si="11"/>
        <v>17.619231388888238</v>
      </c>
      <c r="J228" s="366">
        <f t="shared" si="12"/>
        <v>6.6088639868297971E-3</v>
      </c>
    </row>
    <row r="229" spans="1:10" x14ac:dyDescent="0.25">
      <c r="A229" s="365" t="s">
        <v>631</v>
      </c>
      <c r="B229" s="365">
        <v>2007</v>
      </c>
      <c r="C229" s="365">
        <v>28</v>
      </c>
      <c r="D229" s="365">
        <v>2670</v>
      </c>
      <c r="E229" s="365">
        <v>2902.2251700000002</v>
      </c>
      <c r="F229" s="365"/>
      <c r="G229" s="365">
        <f t="shared" si="14"/>
        <v>2495.1696786111115</v>
      </c>
      <c r="H229" s="365">
        <f t="shared" si="10"/>
        <v>174.83032138888848</v>
      </c>
      <c r="I229" s="365">
        <f t="shared" si="11"/>
        <v>174.83032138888848</v>
      </c>
      <c r="J229" s="366">
        <f t="shared" si="12"/>
        <v>6.5479521119433892E-2</v>
      </c>
    </row>
    <row r="230" spans="1:10" x14ac:dyDescent="0.25">
      <c r="A230" s="365" t="s">
        <v>632</v>
      </c>
      <c r="B230" s="365">
        <v>2007</v>
      </c>
      <c r="C230" s="365">
        <v>29</v>
      </c>
      <c r="D230" s="365">
        <v>2731.8</v>
      </c>
      <c r="E230" s="365">
        <v>3004.3895700000003</v>
      </c>
      <c r="F230" s="365"/>
      <c r="G230" s="365">
        <f t="shared" si="14"/>
        <v>2727.6661019444446</v>
      </c>
      <c r="H230" s="365">
        <f t="shared" si="10"/>
        <v>4.1338980555556191</v>
      </c>
      <c r="I230" s="365">
        <f t="shared" si="11"/>
        <v>4.1338980555556191</v>
      </c>
      <c r="J230" s="366">
        <f t="shared" si="12"/>
        <v>1.5132506243339991E-3</v>
      </c>
    </row>
    <row r="231" spans="1:10" x14ac:dyDescent="0.25">
      <c r="A231" s="365" t="s">
        <v>633</v>
      </c>
      <c r="B231" s="365">
        <v>2007</v>
      </c>
      <c r="C231" s="365">
        <v>30</v>
      </c>
      <c r="D231" s="365">
        <v>2983.8</v>
      </c>
      <c r="E231" s="365">
        <v>3162.0333000000001</v>
      </c>
      <c r="F231" s="365"/>
      <c r="G231" s="365">
        <f t="shared" si="14"/>
        <v>2966.1035619444447</v>
      </c>
      <c r="H231" s="365">
        <f t="shared" si="10"/>
        <v>17.696438055555518</v>
      </c>
      <c r="I231" s="365">
        <f t="shared" si="11"/>
        <v>17.696438055555518</v>
      </c>
      <c r="J231" s="366">
        <f t="shared" si="12"/>
        <v>5.9308392169567384E-3</v>
      </c>
    </row>
    <row r="232" spans="1:10" x14ac:dyDescent="0.25">
      <c r="A232" s="365"/>
      <c r="B232" s="365"/>
      <c r="C232" s="365"/>
      <c r="D232" s="365"/>
      <c r="E232" s="365"/>
      <c r="F232" s="365"/>
      <c r="G232" s="365"/>
      <c r="H232" s="365"/>
      <c r="I232" s="365" t="s">
        <v>610</v>
      </c>
      <c r="J232" s="366">
        <f>AVERAGE(J202:J231)</f>
        <v>4.9044990846534998E-2</v>
      </c>
    </row>
    <row r="234" spans="1:10" x14ac:dyDescent="0.25">
      <c r="A234" s="141" t="s">
        <v>678</v>
      </c>
      <c r="D234" s="141" t="s">
        <v>679</v>
      </c>
    </row>
    <row r="236" spans="1:10" s="298" customFormat="1" ht="75" x14ac:dyDescent="0.25">
      <c r="A236" s="367" t="s">
        <v>626</v>
      </c>
      <c r="B236" s="367" t="s">
        <v>422</v>
      </c>
      <c r="C236" s="367" t="s">
        <v>627</v>
      </c>
      <c r="D236" s="367" t="s">
        <v>650</v>
      </c>
      <c r="E236" s="367" t="s">
        <v>655</v>
      </c>
      <c r="F236" s="367" t="s">
        <v>665</v>
      </c>
      <c r="G236" s="367" t="s">
        <v>675</v>
      </c>
      <c r="H236" s="367" t="s">
        <v>676</v>
      </c>
      <c r="I236" s="367" t="s">
        <v>609</v>
      </c>
      <c r="J236" s="367" t="s">
        <v>677</v>
      </c>
    </row>
    <row r="237" spans="1:10" x14ac:dyDescent="0.25">
      <c r="A237" s="133" t="s">
        <v>628</v>
      </c>
      <c r="B237" s="133">
        <v>2005</v>
      </c>
      <c r="C237" s="133">
        <v>1</v>
      </c>
      <c r="D237" s="133">
        <v>1282</v>
      </c>
      <c r="E237" s="133">
        <v>1316.8587900000007</v>
      </c>
      <c r="F237" s="133">
        <v>1.2027418688116751</v>
      </c>
      <c r="G237" s="133">
        <f>E237*F237</f>
        <v>1583.8412020456819</v>
      </c>
      <c r="H237" s="133">
        <f>D237-G237</f>
        <v>-301.84120204568194</v>
      </c>
      <c r="I237" s="133">
        <f>ABS(H237)</f>
        <v>301.84120204568194</v>
      </c>
      <c r="J237" s="368">
        <f>I237/D237</f>
        <v>0.23544555541784862</v>
      </c>
    </row>
    <row r="238" spans="1:10" x14ac:dyDescent="0.25">
      <c r="A238" s="133" t="s">
        <v>629</v>
      </c>
      <c r="B238" s="133">
        <v>2005</v>
      </c>
      <c r="C238" s="133">
        <v>2</v>
      </c>
      <c r="D238" s="133">
        <v>1292.7</v>
      </c>
      <c r="E238" s="133">
        <v>1481.5516800000005</v>
      </c>
      <c r="F238" s="133">
        <v>1.1732600286776211</v>
      </c>
      <c r="G238" s="133">
        <f t="shared" ref="G238:G248" si="15">E238*F238</f>
        <v>1738.2453665641783</v>
      </c>
      <c r="H238" s="133">
        <f t="shared" ref="H238:H266" si="16">D238-G238</f>
        <v>-445.54536656417827</v>
      </c>
      <c r="I238" s="133">
        <f t="shared" ref="I238:I266" si="17">ABS(H238)</f>
        <v>445.54536656417827</v>
      </c>
      <c r="J238" s="368">
        <f t="shared" ref="J238:J266" si="18">I238/D238</f>
        <v>0.34466261821318034</v>
      </c>
    </row>
    <row r="239" spans="1:10" x14ac:dyDescent="0.25">
      <c r="A239" s="133" t="s">
        <v>630</v>
      </c>
      <c r="B239" s="133">
        <v>2005</v>
      </c>
      <c r="C239" s="133">
        <v>3</v>
      </c>
      <c r="D239" s="133">
        <v>1295</v>
      </c>
      <c r="E239" s="133">
        <v>1415.9208300000005</v>
      </c>
      <c r="F239" s="133">
        <v>1.2105052364986761</v>
      </c>
      <c r="G239" s="133">
        <f t="shared" si="15"/>
        <v>1713.9795791825525</v>
      </c>
      <c r="H239" s="133">
        <f t="shared" si="16"/>
        <v>-418.97957918255247</v>
      </c>
      <c r="I239" s="133">
        <f t="shared" si="17"/>
        <v>418.97957918255247</v>
      </c>
      <c r="J239" s="368">
        <f t="shared" si="18"/>
        <v>0.32353635458112162</v>
      </c>
    </row>
    <row r="240" spans="1:10" x14ac:dyDescent="0.25">
      <c r="A240" s="133" t="s">
        <v>631</v>
      </c>
      <c r="B240" s="133">
        <v>2005</v>
      </c>
      <c r="C240" s="133">
        <v>4</v>
      </c>
      <c r="D240" s="133">
        <v>1392.6</v>
      </c>
      <c r="E240" s="133">
        <v>1686.9939900000004</v>
      </c>
      <c r="F240" s="133">
        <v>1.1466406969180107</v>
      </c>
      <c r="G240" s="133">
        <f t="shared" si="15"/>
        <v>1934.375964390096</v>
      </c>
      <c r="H240" s="133">
        <f t="shared" si="16"/>
        <v>-541.77596439009608</v>
      </c>
      <c r="I240" s="133">
        <f t="shared" si="17"/>
        <v>541.77596439009608</v>
      </c>
      <c r="J240" s="368">
        <f t="shared" si="18"/>
        <v>0.38903918166745377</v>
      </c>
    </row>
    <row r="241" spans="1:10" x14ac:dyDescent="0.25">
      <c r="A241" s="133" t="s">
        <v>632</v>
      </c>
      <c r="B241" s="133">
        <v>2005</v>
      </c>
      <c r="C241" s="133">
        <v>5</v>
      </c>
      <c r="D241" s="133">
        <v>1647.3</v>
      </c>
      <c r="E241" s="133">
        <v>1593.8907900000004</v>
      </c>
      <c r="F241" s="133">
        <v>1.2527174807936614</v>
      </c>
      <c r="G241" s="133">
        <f t="shared" si="15"/>
        <v>1996.6948551090193</v>
      </c>
      <c r="H241" s="133">
        <f t="shared" si="16"/>
        <v>-349.39485510901932</v>
      </c>
      <c r="I241" s="133">
        <f t="shared" si="17"/>
        <v>349.39485510901932</v>
      </c>
      <c r="J241" s="368">
        <f t="shared" si="18"/>
        <v>0.21210153287744754</v>
      </c>
    </row>
    <row r="242" spans="1:10" x14ac:dyDescent="0.25">
      <c r="A242" s="133" t="s">
        <v>633</v>
      </c>
      <c r="B242" s="133">
        <v>2005</v>
      </c>
      <c r="C242" s="133">
        <v>6</v>
      </c>
      <c r="D242" s="133">
        <v>1672.9</v>
      </c>
      <c r="E242" s="133">
        <v>1824.0360900000001</v>
      </c>
      <c r="F242" s="133">
        <v>1.2776849050443264</v>
      </c>
      <c r="G242" s="133">
        <f t="shared" si="15"/>
        <v>2330.5433784490747</v>
      </c>
      <c r="H242" s="133">
        <f t="shared" si="16"/>
        <v>-657.64337844907459</v>
      </c>
      <c r="I242" s="133">
        <f t="shared" si="17"/>
        <v>657.64337844907459</v>
      </c>
      <c r="J242" s="368">
        <f t="shared" si="18"/>
        <v>0.39311577407440645</v>
      </c>
    </row>
    <row r="243" spans="1:10" x14ac:dyDescent="0.25">
      <c r="A243" s="133" t="s">
        <v>634</v>
      </c>
      <c r="B243" s="133">
        <v>2005</v>
      </c>
      <c r="C243" s="133">
        <v>7</v>
      </c>
      <c r="D243" s="133">
        <v>1660.5</v>
      </c>
      <c r="E243" s="133">
        <v>1765.7705400000004</v>
      </c>
      <c r="F243" s="133">
        <v>0.63623539967477027</v>
      </c>
      <c r="G243" s="133">
        <f t="shared" si="15"/>
        <v>1123.4457252508353</v>
      </c>
      <c r="H243" s="133">
        <f t="shared" si="16"/>
        <v>537.05427474916473</v>
      </c>
      <c r="I243" s="133">
        <f t="shared" si="17"/>
        <v>537.05427474916473</v>
      </c>
      <c r="J243" s="368">
        <f t="shared" si="18"/>
        <v>0.32342925308591675</v>
      </c>
    </row>
    <row r="244" spans="1:10" x14ac:dyDescent="0.25">
      <c r="A244" s="133" t="s">
        <v>635</v>
      </c>
      <c r="B244" s="133">
        <v>2005</v>
      </c>
      <c r="C244" s="133">
        <v>8</v>
      </c>
      <c r="D244" s="133">
        <v>2011.7</v>
      </c>
      <c r="E244" s="133">
        <v>1909.9425900000001</v>
      </c>
      <c r="F244" s="133">
        <v>0.7126169020436689</v>
      </c>
      <c r="G244" s="133">
        <f t="shared" si="15"/>
        <v>1361.0573715670614</v>
      </c>
      <c r="H244" s="133">
        <f t="shared" si="16"/>
        <v>650.64262843293864</v>
      </c>
      <c r="I244" s="133">
        <f t="shared" si="17"/>
        <v>650.64262843293864</v>
      </c>
      <c r="J244" s="368">
        <f t="shared" si="18"/>
        <v>0.32342925308591669</v>
      </c>
    </row>
    <row r="245" spans="1:10" x14ac:dyDescent="0.25">
      <c r="A245" s="133" t="s">
        <v>636</v>
      </c>
      <c r="B245" s="133">
        <v>2005</v>
      </c>
      <c r="C245" s="133">
        <v>9</v>
      </c>
      <c r="D245" s="133">
        <v>2351.9</v>
      </c>
      <c r="E245" s="133">
        <v>1863.0762600000003</v>
      </c>
      <c r="F245" s="133">
        <v>0.85408567208474451</v>
      </c>
      <c r="G245" s="133">
        <f t="shared" si="15"/>
        <v>1591.2267396672323</v>
      </c>
      <c r="H245" s="133">
        <f t="shared" si="16"/>
        <v>760.67326033276777</v>
      </c>
      <c r="I245" s="133">
        <f t="shared" si="17"/>
        <v>760.67326033276777</v>
      </c>
      <c r="J245" s="368">
        <f t="shared" si="18"/>
        <v>0.3234292530859168</v>
      </c>
    </row>
    <row r="246" spans="1:10" x14ac:dyDescent="0.25">
      <c r="A246" s="133" t="s">
        <v>637</v>
      </c>
      <c r="B246" s="133">
        <v>2005</v>
      </c>
      <c r="C246" s="133">
        <v>10</v>
      </c>
      <c r="D246" s="133">
        <v>2513.9</v>
      </c>
      <c r="E246" s="133">
        <v>2007.6621</v>
      </c>
      <c r="F246" s="133">
        <v>0.84717004951546071</v>
      </c>
      <c r="G246" s="133">
        <f t="shared" si="15"/>
        <v>1700.8312006673139</v>
      </c>
      <c r="H246" s="133">
        <f t="shared" si="16"/>
        <v>813.06879933268624</v>
      </c>
      <c r="I246" s="133">
        <f t="shared" si="17"/>
        <v>813.06879933268624</v>
      </c>
      <c r="J246" s="368">
        <f t="shared" si="18"/>
        <v>0.3234292530859168</v>
      </c>
    </row>
    <row r="247" spans="1:10" x14ac:dyDescent="0.25">
      <c r="A247" s="133" t="s">
        <v>638</v>
      </c>
      <c r="B247" s="133">
        <v>2005</v>
      </c>
      <c r="C247" s="133">
        <v>11</v>
      </c>
      <c r="D247" s="133">
        <v>2468.5</v>
      </c>
      <c r="E247" s="133">
        <v>2132.1844500000002</v>
      </c>
      <c r="F247" s="133">
        <v>0.78328818539006528</v>
      </c>
      <c r="G247" s="133">
        <f t="shared" si="15"/>
        <v>1670.1148887574145</v>
      </c>
      <c r="H247" s="133">
        <f t="shared" si="16"/>
        <v>798.38511124258548</v>
      </c>
      <c r="I247" s="133">
        <f t="shared" si="17"/>
        <v>798.38511124258548</v>
      </c>
      <c r="J247" s="368">
        <f t="shared" si="18"/>
        <v>0.32342925308591675</v>
      </c>
    </row>
    <row r="248" spans="1:10" x14ac:dyDescent="0.25">
      <c r="A248" s="133" t="s">
        <v>639</v>
      </c>
      <c r="B248" s="133">
        <v>2005</v>
      </c>
      <c r="C248" s="133">
        <v>12</v>
      </c>
      <c r="D248" s="133">
        <v>2746.2</v>
      </c>
      <c r="E248" s="133">
        <v>2057.4621900000006</v>
      </c>
      <c r="F248" s="133">
        <v>0.90305357454731872</v>
      </c>
      <c r="G248" s="133">
        <f t="shared" si="15"/>
        <v>1857.9985851754552</v>
      </c>
      <c r="H248" s="133">
        <f t="shared" si="16"/>
        <v>888.2014148245446</v>
      </c>
      <c r="I248" s="133">
        <f t="shared" si="17"/>
        <v>888.2014148245446</v>
      </c>
      <c r="J248" s="368">
        <f t="shared" si="18"/>
        <v>0.3234292530859168</v>
      </c>
    </row>
    <row r="249" spans="1:10" x14ac:dyDescent="0.25">
      <c r="A249" s="133" t="s">
        <v>628</v>
      </c>
      <c r="B249" s="133">
        <v>2006</v>
      </c>
      <c r="C249" s="133">
        <v>13</v>
      </c>
      <c r="D249" s="133">
        <v>1942.7</v>
      </c>
      <c r="E249" s="133">
        <v>2359.4732700000009</v>
      </c>
      <c r="F249" s="133"/>
      <c r="G249" s="133">
        <f>E249*F237</f>
        <v>2837.8372901709949</v>
      </c>
      <c r="H249" s="133">
        <f t="shared" si="16"/>
        <v>-895.1372901709949</v>
      </c>
      <c r="I249" s="133">
        <f t="shared" si="17"/>
        <v>895.1372901709949</v>
      </c>
      <c r="J249" s="368">
        <f t="shared" si="18"/>
        <v>0.46076969690173208</v>
      </c>
    </row>
    <row r="250" spans="1:10" x14ac:dyDescent="0.25">
      <c r="A250" s="133" t="s">
        <v>629</v>
      </c>
      <c r="B250" s="133">
        <v>2006</v>
      </c>
      <c r="C250" s="133">
        <v>14</v>
      </c>
      <c r="D250" s="133">
        <v>1901.1</v>
      </c>
      <c r="E250" s="133">
        <v>2241.1823400000003</v>
      </c>
      <c r="F250" s="133"/>
      <c r="G250" s="133">
        <f t="shared" ref="G250:G260" si="19">E250*F238</f>
        <v>2629.4896565001782</v>
      </c>
      <c r="H250" s="133">
        <f t="shared" si="16"/>
        <v>-728.38965650017826</v>
      </c>
      <c r="I250" s="133">
        <f t="shared" si="17"/>
        <v>728.38965650017826</v>
      </c>
      <c r="J250" s="368">
        <f t="shared" si="18"/>
        <v>0.38314115853988656</v>
      </c>
    </row>
    <row r="251" spans="1:10" x14ac:dyDescent="0.25">
      <c r="A251" s="133" t="s">
        <v>630</v>
      </c>
      <c r="B251" s="133">
        <v>2006</v>
      </c>
      <c r="C251" s="133">
        <v>15</v>
      </c>
      <c r="D251" s="133">
        <v>1971.6</v>
      </c>
      <c r="E251" s="133">
        <v>2279.9970000000003</v>
      </c>
      <c r="F251" s="133"/>
      <c r="G251" s="133">
        <f t="shared" si="19"/>
        <v>2759.9483077012724</v>
      </c>
      <c r="H251" s="133">
        <f t="shared" si="16"/>
        <v>-788.34830770127246</v>
      </c>
      <c r="I251" s="133">
        <f t="shared" si="17"/>
        <v>788.34830770127246</v>
      </c>
      <c r="J251" s="368">
        <f t="shared" si="18"/>
        <v>0.39985205300328286</v>
      </c>
    </row>
    <row r="252" spans="1:10" x14ac:dyDescent="0.25">
      <c r="A252" s="133" t="s">
        <v>631</v>
      </c>
      <c r="B252" s="133">
        <v>2006</v>
      </c>
      <c r="C252" s="133">
        <v>16</v>
      </c>
      <c r="D252" s="133">
        <v>1989.1</v>
      </c>
      <c r="E252" s="133">
        <v>2496.6769499999996</v>
      </c>
      <c r="F252" s="133"/>
      <c r="G252" s="133">
        <f t="shared" si="19"/>
        <v>2862.7913979271329</v>
      </c>
      <c r="H252" s="133">
        <f t="shared" si="16"/>
        <v>-873.69139792713304</v>
      </c>
      <c r="I252" s="133">
        <f t="shared" si="17"/>
        <v>873.69139792713304</v>
      </c>
      <c r="J252" s="368">
        <f t="shared" si="18"/>
        <v>0.43923955453578656</v>
      </c>
    </row>
    <row r="253" spans="1:10" x14ac:dyDescent="0.25">
      <c r="A253" s="133" t="s">
        <v>632</v>
      </c>
      <c r="B253" s="133">
        <v>2006</v>
      </c>
      <c r="C253" s="133">
        <v>17</v>
      </c>
      <c r="D253" s="133">
        <v>2139.1999999999998</v>
      </c>
      <c r="E253" s="133">
        <v>2563.2196800000006</v>
      </c>
      <c r="F253" s="133"/>
      <c r="G253" s="133">
        <f t="shared" si="19"/>
        <v>3210.9901002503357</v>
      </c>
      <c r="H253" s="133">
        <f t="shared" si="16"/>
        <v>-1071.7901002503359</v>
      </c>
      <c r="I253" s="133">
        <f t="shared" si="17"/>
        <v>1071.7901002503359</v>
      </c>
      <c r="J253" s="368">
        <f t="shared" si="18"/>
        <v>0.50102379405868358</v>
      </c>
    </row>
    <row r="254" spans="1:10" x14ac:dyDescent="0.25">
      <c r="A254" s="133" t="s">
        <v>633</v>
      </c>
      <c r="B254" s="133">
        <v>2006</v>
      </c>
      <c r="C254" s="133">
        <v>18</v>
      </c>
      <c r="D254" s="133">
        <v>2474.1999999999998</v>
      </c>
      <c r="E254" s="133">
        <v>2545.6494600000001</v>
      </c>
      <c r="F254" s="133"/>
      <c r="G254" s="133">
        <f t="shared" si="19"/>
        <v>3252.5378885762411</v>
      </c>
      <c r="H254" s="133">
        <f t="shared" si="16"/>
        <v>-778.33788857624131</v>
      </c>
      <c r="I254" s="133">
        <f t="shared" si="17"/>
        <v>778.33788857624131</v>
      </c>
      <c r="J254" s="368">
        <f t="shared" si="18"/>
        <v>0.31458163793397514</v>
      </c>
    </row>
    <row r="255" spans="1:10" x14ac:dyDescent="0.25">
      <c r="A255" s="133" t="s">
        <v>634</v>
      </c>
      <c r="B255" s="133">
        <v>2006</v>
      </c>
      <c r="C255" s="133">
        <v>19</v>
      </c>
      <c r="D255" s="133">
        <v>2393.6</v>
      </c>
      <c r="E255" s="133">
        <v>2535.2056800000005</v>
      </c>
      <c r="F255" s="133"/>
      <c r="G255" s="133">
        <f t="shared" si="19"/>
        <v>1612.9875990725482</v>
      </c>
      <c r="H255" s="133">
        <f t="shared" si="16"/>
        <v>780.61240092745174</v>
      </c>
      <c r="I255" s="133">
        <f t="shared" si="17"/>
        <v>780.61240092745174</v>
      </c>
      <c r="J255" s="368">
        <f t="shared" si="18"/>
        <v>0.32612483327517205</v>
      </c>
    </row>
    <row r="256" spans="1:10" x14ac:dyDescent="0.25">
      <c r="A256" s="133" t="s">
        <v>635</v>
      </c>
      <c r="B256" s="133">
        <v>2006</v>
      </c>
      <c r="C256" s="133">
        <v>20</v>
      </c>
      <c r="D256" s="133">
        <v>2990.1</v>
      </c>
      <c r="E256" s="133">
        <v>2794.4047200000005</v>
      </c>
      <c r="F256" s="133"/>
      <c r="G256" s="133">
        <f t="shared" si="19"/>
        <v>1991.3400346226063</v>
      </c>
      <c r="H256" s="133">
        <f t="shared" si="16"/>
        <v>998.75996537739366</v>
      </c>
      <c r="I256" s="133">
        <f t="shared" si="17"/>
        <v>998.75996537739366</v>
      </c>
      <c r="J256" s="368">
        <f t="shared" si="18"/>
        <v>0.33402226192347872</v>
      </c>
    </row>
    <row r="257" spans="1:10" x14ac:dyDescent="0.25">
      <c r="A257" s="133" t="s">
        <v>636</v>
      </c>
      <c r="B257" s="133">
        <v>2006</v>
      </c>
      <c r="C257" s="133">
        <v>21</v>
      </c>
      <c r="D257" s="133">
        <v>3190.3</v>
      </c>
      <c r="E257" s="133">
        <v>2772.5413500000004</v>
      </c>
      <c r="F257" s="133"/>
      <c r="G257" s="133">
        <f t="shared" si="19"/>
        <v>2367.9878422974953</v>
      </c>
      <c r="H257" s="133">
        <f t="shared" si="16"/>
        <v>822.31215770250492</v>
      </c>
      <c r="I257" s="133">
        <f t="shared" si="17"/>
        <v>822.31215770250492</v>
      </c>
      <c r="J257" s="368">
        <f t="shared" si="18"/>
        <v>0.25775386568739772</v>
      </c>
    </row>
    <row r="258" spans="1:10" x14ac:dyDescent="0.25">
      <c r="A258" s="133" t="s">
        <v>637</v>
      </c>
      <c r="B258" s="133">
        <v>2006</v>
      </c>
      <c r="C258" s="133">
        <v>22</v>
      </c>
      <c r="D258" s="133">
        <v>3400.4</v>
      </c>
      <c r="E258" s="133">
        <v>2880.2304300000005</v>
      </c>
      <c r="F258" s="133"/>
      <c r="G258" s="133">
        <f t="shared" si="19"/>
        <v>2440.044955999037</v>
      </c>
      <c r="H258" s="133">
        <f t="shared" si="16"/>
        <v>960.35504400096306</v>
      </c>
      <c r="I258" s="133">
        <f t="shared" si="17"/>
        <v>960.35504400096306</v>
      </c>
      <c r="J258" s="368">
        <f t="shared" si="18"/>
        <v>0.28242413951328166</v>
      </c>
    </row>
    <row r="259" spans="1:10" x14ac:dyDescent="0.25">
      <c r="A259" s="133" t="s">
        <v>638</v>
      </c>
      <c r="B259" s="133">
        <v>2006</v>
      </c>
      <c r="C259" s="133">
        <v>23</v>
      </c>
      <c r="D259" s="133">
        <v>3399.5</v>
      </c>
      <c r="E259" s="133">
        <v>2881.0580100000002</v>
      </c>
      <c r="F259" s="133"/>
      <c r="G259" s="133">
        <f t="shared" si="19"/>
        <v>2256.6987006564127</v>
      </c>
      <c r="H259" s="133">
        <f t="shared" si="16"/>
        <v>1142.8012993435873</v>
      </c>
      <c r="I259" s="133">
        <f t="shared" si="17"/>
        <v>1142.8012993435873</v>
      </c>
      <c r="J259" s="368">
        <f t="shared" si="18"/>
        <v>0.33616746561070371</v>
      </c>
    </row>
    <row r="260" spans="1:10" x14ac:dyDescent="0.25">
      <c r="A260" s="133" t="s">
        <v>639</v>
      </c>
      <c r="B260" s="133">
        <v>2006</v>
      </c>
      <c r="C260" s="133">
        <v>24</v>
      </c>
      <c r="D260" s="133">
        <v>3793.9</v>
      </c>
      <c r="E260" s="133">
        <v>2831.6920800000003</v>
      </c>
      <c r="F260" s="133"/>
      <c r="G260" s="133">
        <f t="shared" si="19"/>
        <v>2557.1696548613322</v>
      </c>
      <c r="H260" s="133">
        <f t="shared" si="16"/>
        <v>1236.7303451386679</v>
      </c>
      <c r="I260" s="133">
        <f t="shared" si="17"/>
        <v>1236.7303451386679</v>
      </c>
      <c r="J260" s="368">
        <f t="shared" si="18"/>
        <v>0.32597863547765304</v>
      </c>
    </row>
    <row r="261" spans="1:10" x14ac:dyDescent="0.25">
      <c r="A261" s="133" t="s">
        <v>628</v>
      </c>
      <c r="B261" s="133">
        <v>2007</v>
      </c>
      <c r="C261" s="133">
        <v>25</v>
      </c>
      <c r="D261" s="133">
        <v>2584.9</v>
      </c>
      <c r="E261" s="133">
        <v>2972.2974000000004</v>
      </c>
      <c r="F261" s="133"/>
      <c r="G261" s="133">
        <f>E261*F237</f>
        <v>3574.9065295400833</v>
      </c>
      <c r="H261" s="133">
        <f t="shared" si="16"/>
        <v>-990.00652954008319</v>
      </c>
      <c r="I261" s="133">
        <f t="shared" si="17"/>
        <v>990.00652954008319</v>
      </c>
      <c r="J261" s="368">
        <f t="shared" si="18"/>
        <v>0.38299606543389808</v>
      </c>
    </row>
    <row r="262" spans="1:10" x14ac:dyDescent="0.25">
      <c r="A262" s="133" t="s">
        <v>629</v>
      </c>
      <c r="B262" s="133">
        <v>2007</v>
      </c>
      <c r="C262" s="133">
        <v>26</v>
      </c>
      <c r="D262" s="133">
        <v>2451.6999999999998</v>
      </c>
      <c r="E262" s="133">
        <v>2784.7484700000005</v>
      </c>
      <c r="F262" s="133"/>
      <c r="G262" s="133">
        <f t="shared" ref="G262:G266" si="20">E262*F238</f>
        <v>3267.234069772162</v>
      </c>
      <c r="H262" s="133">
        <f t="shared" si="16"/>
        <v>-815.53406977216218</v>
      </c>
      <c r="I262" s="133">
        <f t="shared" si="17"/>
        <v>815.53406977216218</v>
      </c>
      <c r="J262" s="368">
        <f t="shared" si="18"/>
        <v>0.33264023729337289</v>
      </c>
    </row>
    <row r="263" spans="1:10" x14ac:dyDescent="0.25">
      <c r="A263" s="133" t="s">
        <v>630</v>
      </c>
      <c r="B263" s="133">
        <v>2007</v>
      </c>
      <c r="C263" s="133">
        <v>27</v>
      </c>
      <c r="D263" s="133">
        <v>2666</v>
      </c>
      <c r="E263" s="133">
        <v>2947.7152500000007</v>
      </c>
      <c r="F263" s="133"/>
      <c r="G263" s="133">
        <f t="shared" si="20"/>
        <v>3568.2247458320048</v>
      </c>
      <c r="H263" s="133">
        <f t="shared" si="16"/>
        <v>-902.22474583200483</v>
      </c>
      <c r="I263" s="133">
        <f t="shared" si="17"/>
        <v>902.22474583200483</v>
      </c>
      <c r="J263" s="368">
        <f t="shared" si="18"/>
        <v>0.33841888440810386</v>
      </c>
    </row>
    <row r="264" spans="1:10" x14ac:dyDescent="0.25">
      <c r="A264" s="133" t="s">
        <v>631</v>
      </c>
      <c r="B264" s="133">
        <v>2007</v>
      </c>
      <c r="C264" s="133">
        <v>28</v>
      </c>
      <c r="D264" s="133">
        <v>2670</v>
      </c>
      <c r="E264" s="133">
        <v>2902.2251700000002</v>
      </c>
      <c r="F264" s="133"/>
      <c r="G264" s="133">
        <f t="shared" si="20"/>
        <v>3327.8094915417923</v>
      </c>
      <c r="H264" s="133">
        <f t="shared" si="16"/>
        <v>-657.80949154179234</v>
      </c>
      <c r="I264" s="133">
        <f t="shared" si="17"/>
        <v>657.80949154179234</v>
      </c>
      <c r="J264" s="368">
        <f t="shared" si="18"/>
        <v>0.2463705960830683</v>
      </c>
    </row>
    <row r="265" spans="1:10" x14ac:dyDescent="0.25">
      <c r="A265" s="133" t="s">
        <v>632</v>
      </c>
      <c r="B265" s="133">
        <v>2007</v>
      </c>
      <c r="C265" s="133">
        <v>29</v>
      </c>
      <c r="D265" s="133">
        <v>2731.8</v>
      </c>
      <c r="E265" s="133">
        <v>3004.3895700000003</v>
      </c>
      <c r="F265" s="133"/>
      <c r="G265" s="133">
        <f t="shared" si="20"/>
        <v>3763.6513334531519</v>
      </c>
      <c r="H265" s="133">
        <f t="shared" si="16"/>
        <v>-1031.8513334531517</v>
      </c>
      <c r="I265" s="133">
        <f t="shared" si="17"/>
        <v>1031.8513334531517</v>
      </c>
      <c r="J265" s="368">
        <f t="shared" si="18"/>
        <v>0.37771847626222699</v>
      </c>
    </row>
    <row r="266" spans="1:10" x14ac:dyDescent="0.25">
      <c r="A266" s="133" t="s">
        <v>633</v>
      </c>
      <c r="B266" s="133">
        <v>2007</v>
      </c>
      <c r="C266" s="133">
        <v>30</v>
      </c>
      <c r="D266" s="133">
        <v>2983.8</v>
      </c>
      <c r="E266" s="133">
        <v>3162.0333000000001</v>
      </c>
      <c r="F266" s="133"/>
      <c r="G266" s="133">
        <f t="shared" si="20"/>
        <v>4040.0822166574981</v>
      </c>
      <c r="H266" s="133">
        <f t="shared" si="16"/>
        <v>-1056.2822166574979</v>
      </c>
      <c r="I266" s="133">
        <f t="shared" si="17"/>
        <v>1056.2822166574979</v>
      </c>
      <c r="J266" s="368">
        <f t="shared" si="18"/>
        <v>0.35400570301544937</v>
      </c>
    </row>
    <row r="267" spans="1:10" x14ac:dyDescent="0.25">
      <c r="A267" s="133"/>
      <c r="B267" s="133"/>
      <c r="C267" s="133"/>
      <c r="D267" s="133"/>
      <c r="E267" s="133"/>
      <c r="F267" s="133"/>
      <c r="G267" s="133"/>
      <c r="H267" s="133"/>
      <c r="I267" s="133" t="s">
        <v>610</v>
      </c>
      <c r="J267" s="368">
        <f>AVERAGE(J237:J266)</f>
        <v>0.3410568531434704</v>
      </c>
    </row>
    <row r="268" spans="1:10" x14ac:dyDescent="0.25">
      <c r="A268" s="141" t="s">
        <v>680</v>
      </c>
    </row>
    <row r="270" spans="1:10" x14ac:dyDescent="0.25">
      <c r="A270" s="141" t="s">
        <v>684</v>
      </c>
    </row>
    <row r="272" spans="1:10" x14ac:dyDescent="0.25">
      <c r="A272" t="s">
        <v>681</v>
      </c>
      <c r="C272">
        <f xml:space="preserve"> 13.896*400 - 0.6393*800 - 880.48</f>
        <v>4166.4800000000014</v>
      </c>
      <c r="D272" t="s">
        <v>692</v>
      </c>
    </row>
    <row r="273" spans="1:4" x14ac:dyDescent="0.25">
      <c r="A273" t="s">
        <v>682</v>
      </c>
      <c r="C273">
        <f>F208</f>
        <v>-185.7615647222224</v>
      </c>
      <c r="D273" t="s">
        <v>692</v>
      </c>
    </row>
    <row r="274" spans="1:4" x14ac:dyDescent="0.25">
      <c r="A274" t="s">
        <v>683</v>
      </c>
      <c r="C274" s="141">
        <f>C272+C273</f>
        <v>3980.718435277779</v>
      </c>
      <c r="D274" t="s">
        <v>692</v>
      </c>
    </row>
  </sheetData>
  <mergeCells count="9">
    <mergeCell ref="A196:I196"/>
    <mergeCell ref="G30:G33"/>
    <mergeCell ref="F78:J79"/>
    <mergeCell ref="G4:G9"/>
    <mergeCell ref="G11:G13"/>
    <mergeCell ref="G16:G17"/>
    <mergeCell ref="G18:G21"/>
    <mergeCell ref="G23:G25"/>
    <mergeCell ref="G28:G29"/>
  </mergeCells>
  <pageMargins left="0.11811023622047245" right="0.11811023622047245" top="0.15748031496062992" bottom="0.15748031496062992" header="0.31496062992125984" footer="0.31496062992125984"/>
  <pageSetup paperSize="9" scale="60" fitToHeight="4" orientation="portrait" verticalDpi="0" r:id="rId1"/>
  <rowBreaks count="1" manualBreakCount="1">
    <brk id="80" max="16383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>
    <row r="1" spans="1:1" x14ac:dyDescent="0.25">
      <c r="A1" s="141" t="s">
        <v>686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9"/>
  <sheetViews>
    <sheetView tabSelected="1" topLeftCell="A99" workbookViewId="0">
      <selection activeCell="D93" sqref="D93"/>
    </sheetView>
  </sheetViews>
  <sheetFormatPr defaultRowHeight="15" x14ac:dyDescent="0.25"/>
  <cols>
    <col min="1" max="1" width="18.85546875" customWidth="1"/>
    <col min="2" max="2" width="12.5703125" customWidth="1"/>
    <col min="3" max="3" width="13.85546875" customWidth="1"/>
    <col min="4" max="4" width="23.7109375" customWidth="1"/>
    <col min="5" max="5" width="15.5703125" customWidth="1"/>
    <col min="6" max="6" width="10.42578125" customWidth="1"/>
  </cols>
  <sheetData>
    <row r="1" spans="1:17" x14ac:dyDescent="0.25">
      <c r="A1" s="362" t="s">
        <v>693</v>
      </c>
    </row>
    <row r="3" spans="1:17" s="115" customFormat="1" ht="45" x14ac:dyDescent="0.25">
      <c r="A3" s="372" t="s">
        <v>422</v>
      </c>
      <c r="B3" s="372" t="s">
        <v>694</v>
      </c>
      <c r="C3" s="372" t="s">
        <v>696</v>
      </c>
    </row>
    <row r="4" spans="1:17" x14ac:dyDescent="0.25">
      <c r="A4" s="369">
        <v>2011</v>
      </c>
      <c r="B4" s="377">
        <v>265455</v>
      </c>
      <c r="C4" s="377"/>
    </row>
    <row r="5" spans="1:17" x14ac:dyDescent="0.25">
      <c r="A5" s="369">
        <v>2012</v>
      </c>
      <c r="B5" s="377">
        <v>270945</v>
      </c>
      <c r="C5" s="377">
        <f>B5-B4</f>
        <v>5490</v>
      </c>
    </row>
    <row r="6" spans="1:17" x14ac:dyDescent="0.25">
      <c r="A6" s="369">
        <v>2013</v>
      </c>
      <c r="B6" s="377">
        <v>280350</v>
      </c>
      <c r="C6" s="377">
        <f t="shared" ref="C6:C10" si="0">B6-B5</f>
        <v>9405</v>
      </c>
    </row>
    <row r="7" spans="1:17" x14ac:dyDescent="0.25">
      <c r="A7" s="369">
        <v>2014</v>
      </c>
      <c r="B7" s="377">
        <v>289600</v>
      </c>
      <c r="C7" s="377">
        <f t="shared" si="0"/>
        <v>9250</v>
      </c>
    </row>
    <row r="8" spans="1:17" x14ac:dyDescent="0.25">
      <c r="A8" s="369">
        <v>2015</v>
      </c>
      <c r="B8" s="377">
        <v>299655</v>
      </c>
      <c r="C8" s="377">
        <f t="shared" si="0"/>
        <v>10055</v>
      </c>
    </row>
    <row r="9" spans="1:17" x14ac:dyDescent="0.25">
      <c r="A9" s="369">
        <v>2016</v>
      </c>
      <c r="B9" s="377">
        <v>407865</v>
      </c>
      <c r="C9" s="377">
        <f t="shared" si="0"/>
        <v>108210</v>
      </c>
    </row>
    <row r="10" spans="1:17" x14ac:dyDescent="0.25">
      <c r="A10" s="369">
        <v>2017</v>
      </c>
      <c r="B10" s="377">
        <v>480908</v>
      </c>
      <c r="C10" s="377">
        <f t="shared" si="0"/>
        <v>73043</v>
      </c>
    </row>
    <row r="11" spans="1:17" x14ac:dyDescent="0.25">
      <c r="A11" s="369" t="s">
        <v>697</v>
      </c>
      <c r="B11" s="377"/>
      <c r="C11" s="377">
        <f>AVERAGE(C5:C10)</f>
        <v>35908.833333333336</v>
      </c>
    </row>
    <row r="12" spans="1:17" x14ac:dyDescent="0.25">
      <c r="A12" s="369">
        <v>2018</v>
      </c>
      <c r="B12" s="377"/>
      <c r="C12" s="378">
        <f>B10+C11</f>
        <v>516816.83333333331</v>
      </c>
      <c r="D12" s="117" t="s">
        <v>695</v>
      </c>
    </row>
    <row r="14" spans="1:17" x14ac:dyDescent="0.25">
      <c r="A14" s="408" t="s">
        <v>703</v>
      </c>
    </row>
    <row r="16" spans="1:17" ht="15" customHeight="1" x14ac:dyDescent="0.25">
      <c r="A16" s="483" t="s">
        <v>422</v>
      </c>
      <c r="B16" s="483" t="s">
        <v>694</v>
      </c>
      <c r="C16" s="448" t="s">
        <v>704</v>
      </c>
      <c r="D16" s="448"/>
      <c r="E16" s="448"/>
      <c r="F16" s="448"/>
      <c r="G16" s="448"/>
      <c r="H16" s="448"/>
      <c r="I16" s="448"/>
      <c r="J16" s="448"/>
      <c r="K16" s="448"/>
      <c r="L16" s="448"/>
      <c r="M16" s="448"/>
      <c r="N16" s="448"/>
      <c r="O16" s="448"/>
      <c r="P16" s="448"/>
      <c r="Q16" s="448"/>
    </row>
    <row r="17" spans="1:17" x14ac:dyDescent="0.25">
      <c r="A17" s="483"/>
      <c r="B17" s="483"/>
      <c r="C17" s="448">
        <v>2</v>
      </c>
      <c r="D17" s="448"/>
      <c r="E17" s="448"/>
      <c r="F17" s="448">
        <v>3</v>
      </c>
      <c r="G17" s="448"/>
      <c r="H17" s="448"/>
      <c r="I17" s="448">
        <v>4</v>
      </c>
      <c r="J17" s="448"/>
      <c r="K17" s="448"/>
      <c r="L17" s="448">
        <v>5</v>
      </c>
      <c r="M17" s="448"/>
      <c r="N17" s="448"/>
      <c r="O17" s="448">
        <v>6</v>
      </c>
      <c r="P17" s="448"/>
      <c r="Q17" s="448"/>
    </row>
    <row r="18" spans="1:17" s="115" customFormat="1" ht="60" x14ac:dyDescent="0.25">
      <c r="A18" s="483"/>
      <c r="B18" s="483"/>
      <c r="C18" s="372" t="s">
        <v>695</v>
      </c>
      <c r="D18" s="372" t="s">
        <v>698</v>
      </c>
      <c r="E18" s="372" t="s">
        <v>699</v>
      </c>
      <c r="F18" s="372" t="s">
        <v>695</v>
      </c>
      <c r="G18" s="372" t="s">
        <v>698</v>
      </c>
      <c r="H18" s="372" t="s">
        <v>699</v>
      </c>
      <c r="I18" s="372" t="s">
        <v>695</v>
      </c>
      <c r="J18" s="372" t="s">
        <v>698</v>
      </c>
      <c r="K18" s="372" t="s">
        <v>699</v>
      </c>
      <c r="L18" s="372" t="s">
        <v>695</v>
      </c>
      <c r="M18" s="372" t="s">
        <v>698</v>
      </c>
      <c r="N18" s="372" t="s">
        <v>699</v>
      </c>
      <c r="O18" s="372" t="s">
        <v>695</v>
      </c>
      <c r="P18" s="372" t="s">
        <v>698</v>
      </c>
      <c r="Q18" s="372" t="s">
        <v>699</v>
      </c>
    </row>
    <row r="19" spans="1:17" x14ac:dyDescent="0.25">
      <c r="A19" s="369">
        <v>2011</v>
      </c>
      <c r="B19" s="377">
        <v>265455</v>
      </c>
      <c r="C19" s="377"/>
      <c r="D19" s="377"/>
      <c r="E19" s="377"/>
      <c r="F19" s="377"/>
      <c r="G19" s="377"/>
      <c r="H19" s="377"/>
      <c r="I19" s="369"/>
      <c r="J19" s="369"/>
      <c r="K19" s="369"/>
      <c r="L19" s="369"/>
      <c r="M19" s="369"/>
      <c r="N19" s="369"/>
      <c r="O19" s="369"/>
      <c r="P19" s="369"/>
      <c r="Q19" s="369"/>
    </row>
    <row r="20" spans="1:17" x14ac:dyDescent="0.25">
      <c r="A20" s="369">
        <v>2012</v>
      </c>
      <c r="B20" s="377">
        <v>270945</v>
      </c>
      <c r="C20" s="377"/>
      <c r="D20" s="377"/>
      <c r="E20" s="377"/>
      <c r="F20" s="377"/>
      <c r="G20" s="377"/>
      <c r="H20" s="377"/>
      <c r="I20" s="369"/>
      <c r="J20" s="369"/>
      <c r="K20" s="369"/>
      <c r="L20" s="369"/>
      <c r="M20" s="369"/>
      <c r="N20" s="369"/>
      <c r="O20" s="369"/>
      <c r="P20" s="369"/>
      <c r="Q20" s="369"/>
    </row>
    <row r="21" spans="1:17" x14ac:dyDescent="0.25">
      <c r="A21" s="369">
        <v>2013</v>
      </c>
      <c r="B21" s="377">
        <v>280350</v>
      </c>
      <c r="C21" s="377">
        <f>(B19+B20)/2</f>
        <v>268200</v>
      </c>
      <c r="D21" s="377">
        <f>C21-B21</f>
        <v>-12150</v>
      </c>
      <c r="E21" s="377">
        <f>ABS(D21)</f>
        <v>12150</v>
      </c>
      <c r="F21" s="377"/>
      <c r="G21" s="377"/>
      <c r="H21" s="377"/>
      <c r="I21" s="377"/>
      <c r="J21" s="377"/>
      <c r="K21" s="377"/>
      <c r="L21" s="377"/>
      <c r="M21" s="377"/>
      <c r="N21" s="377"/>
      <c r="O21" s="377"/>
      <c r="P21" s="377"/>
      <c r="Q21" s="377"/>
    </row>
    <row r="22" spans="1:17" x14ac:dyDescent="0.25">
      <c r="A22" s="369">
        <v>2014</v>
      </c>
      <c r="B22" s="377">
        <v>289600</v>
      </c>
      <c r="C22" s="377">
        <f t="shared" ref="C22:C25" si="1">(B20+B21)/2</f>
        <v>275647.5</v>
      </c>
      <c r="D22" s="377">
        <f t="shared" ref="D22:D25" si="2">C22-B22</f>
        <v>-13952.5</v>
      </c>
      <c r="E22" s="377">
        <f t="shared" ref="E22:E25" si="3">ABS(D22)</f>
        <v>13952.5</v>
      </c>
      <c r="F22" s="377">
        <f>(B19+B20+B21)/3</f>
        <v>272250</v>
      </c>
      <c r="G22" s="377">
        <f>F22-B22</f>
        <v>-17350</v>
      </c>
      <c r="H22" s="377">
        <f>ABS(G22)</f>
        <v>17350</v>
      </c>
      <c r="I22" s="377"/>
      <c r="J22" s="377"/>
      <c r="K22" s="377"/>
      <c r="L22" s="377"/>
      <c r="M22" s="377"/>
      <c r="N22" s="377"/>
      <c r="O22" s="377"/>
      <c r="P22" s="377"/>
      <c r="Q22" s="377"/>
    </row>
    <row r="23" spans="1:17" x14ac:dyDescent="0.25">
      <c r="A23" s="369">
        <v>2015</v>
      </c>
      <c r="B23" s="377">
        <v>299655</v>
      </c>
      <c r="C23" s="377">
        <f t="shared" si="1"/>
        <v>284975</v>
      </c>
      <c r="D23" s="377">
        <f t="shared" si="2"/>
        <v>-14680</v>
      </c>
      <c r="E23" s="377">
        <f t="shared" si="3"/>
        <v>14680</v>
      </c>
      <c r="F23" s="377">
        <f>(B20+B21+B22)/3</f>
        <v>280298.33333333331</v>
      </c>
      <c r="G23" s="377">
        <f t="shared" ref="G23:G25" si="4">F23-B23</f>
        <v>-19356.666666666686</v>
      </c>
      <c r="H23" s="377">
        <f t="shared" ref="H23:H25" si="5">ABS(G23)</f>
        <v>19356.666666666686</v>
      </c>
      <c r="I23" s="377">
        <f>(B19+B20+B21+B22)/4</f>
        <v>276587.5</v>
      </c>
      <c r="J23" s="377">
        <f>I23-B23</f>
        <v>-23067.5</v>
      </c>
      <c r="K23" s="377">
        <f>ABS(J23)</f>
        <v>23067.5</v>
      </c>
      <c r="L23" s="377"/>
      <c r="M23" s="377"/>
      <c r="N23" s="377"/>
      <c r="O23" s="377"/>
      <c r="P23" s="377"/>
      <c r="Q23" s="377"/>
    </row>
    <row r="24" spans="1:17" x14ac:dyDescent="0.25">
      <c r="A24" s="369">
        <v>2016</v>
      </c>
      <c r="B24" s="377">
        <v>407865</v>
      </c>
      <c r="C24" s="377">
        <f t="shared" si="1"/>
        <v>294627.5</v>
      </c>
      <c r="D24" s="377">
        <f t="shared" si="2"/>
        <v>-113237.5</v>
      </c>
      <c r="E24" s="377">
        <f t="shared" si="3"/>
        <v>113237.5</v>
      </c>
      <c r="F24" s="377">
        <f>(B21+B22+B23)/3</f>
        <v>289868.33333333331</v>
      </c>
      <c r="G24" s="377">
        <f>F24-B24</f>
        <v>-117996.66666666669</v>
      </c>
      <c r="H24" s="377">
        <f t="shared" si="5"/>
        <v>117996.66666666669</v>
      </c>
      <c r="I24" s="377">
        <f t="shared" ref="I24" si="6">(B20+B21+B22+B23)/4</f>
        <v>285137.5</v>
      </c>
      <c r="J24" s="377">
        <f>I24-B24</f>
        <v>-122727.5</v>
      </c>
      <c r="K24" s="377">
        <f t="shared" ref="K24:K25" si="7">ABS(J24)</f>
        <v>122727.5</v>
      </c>
      <c r="L24" s="377">
        <f>(B19+B20+B21+B22+B23)/5</f>
        <v>281201</v>
      </c>
      <c r="M24" s="377">
        <f>L24-B24</f>
        <v>-126664</v>
      </c>
      <c r="N24" s="377">
        <f>ABS(M24)</f>
        <v>126664</v>
      </c>
      <c r="O24" s="377"/>
      <c r="P24" s="377"/>
      <c r="Q24" s="377"/>
    </row>
    <row r="25" spans="1:17" ht="15.75" thickBot="1" x14ac:dyDescent="0.3">
      <c r="A25" s="184">
        <v>2017</v>
      </c>
      <c r="B25" s="381">
        <v>480908</v>
      </c>
      <c r="C25" s="381">
        <f t="shared" si="1"/>
        <v>353760</v>
      </c>
      <c r="D25" s="381">
        <f t="shared" si="2"/>
        <v>-127148</v>
      </c>
      <c r="E25" s="381">
        <f t="shared" si="3"/>
        <v>127148</v>
      </c>
      <c r="F25" s="381">
        <f t="shared" ref="F25" si="8">(B22+B23+B24)/3</f>
        <v>332373.33333333331</v>
      </c>
      <c r="G25" s="381">
        <f t="shared" si="4"/>
        <v>-148534.66666666669</v>
      </c>
      <c r="H25" s="381">
        <f t="shared" si="5"/>
        <v>148534.66666666669</v>
      </c>
      <c r="I25" s="381">
        <f>(B21+B22+B23+B24)/4</f>
        <v>319367.5</v>
      </c>
      <c r="J25" s="381">
        <f t="shared" ref="J25" si="9">I25-B25</f>
        <v>-161540.5</v>
      </c>
      <c r="K25" s="381">
        <f t="shared" si="7"/>
        <v>161540.5</v>
      </c>
      <c r="L25" s="381">
        <f>(B20+B21+B22+B23+B24)/5</f>
        <v>309683</v>
      </c>
      <c r="M25" s="381">
        <f>L25-B25</f>
        <v>-171225</v>
      </c>
      <c r="N25" s="381">
        <f>ABS(M25)</f>
        <v>171225</v>
      </c>
      <c r="O25" s="381">
        <f>(B19+B20+B21+B22+B23+B24)/6</f>
        <v>302311.66666666669</v>
      </c>
      <c r="P25" s="381">
        <f>O25-B25</f>
        <v>-178596.33333333331</v>
      </c>
      <c r="Q25" s="381">
        <f>ABS(P25)</f>
        <v>178596.33333333331</v>
      </c>
    </row>
    <row r="26" spans="1:17" ht="15.75" thickBot="1" x14ac:dyDescent="0.3">
      <c r="A26" s="385" t="s">
        <v>697</v>
      </c>
      <c r="B26" s="153"/>
      <c r="C26" s="386"/>
      <c r="D26" s="386"/>
      <c r="E26" s="383">
        <f>AVERAGE(E21:E25)</f>
        <v>56233.599999999999</v>
      </c>
      <c r="F26" s="383"/>
      <c r="G26" s="383"/>
      <c r="H26" s="383">
        <f>AVERAGE(H22:H25)</f>
        <v>75809.500000000015</v>
      </c>
      <c r="I26" s="383"/>
      <c r="J26" s="383"/>
      <c r="K26" s="383">
        <f>AVERAGE(K23:K25)</f>
        <v>102445.16666666667</v>
      </c>
      <c r="L26" s="383"/>
      <c r="M26" s="383"/>
      <c r="N26" s="383">
        <f>AVERAGE(N24:N25)</f>
        <v>148944.5</v>
      </c>
      <c r="O26" s="383"/>
      <c r="P26" s="383"/>
      <c r="Q26" s="384">
        <f>Q25</f>
        <v>178596.33333333331</v>
      </c>
    </row>
    <row r="27" spans="1:17" s="304" customFormat="1" ht="45" x14ac:dyDescent="0.25">
      <c r="A27" s="379"/>
      <c r="E27" s="380" t="s">
        <v>700</v>
      </c>
    </row>
    <row r="28" spans="1:17" x14ac:dyDescent="0.25">
      <c r="A28" s="141" t="s">
        <v>701</v>
      </c>
      <c r="B28" s="141"/>
      <c r="C28" s="376">
        <f>(B24+B25)/2</f>
        <v>444386.5</v>
      </c>
      <c r="D28" s="141" t="s">
        <v>692</v>
      </c>
    </row>
    <row r="30" spans="1:17" x14ac:dyDescent="0.25">
      <c r="A30" s="408" t="s">
        <v>702</v>
      </c>
    </row>
    <row r="32" spans="1:17" x14ac:dyDescent="0.25">
      <c r="A32" s="483" t="s">
        <v>422</v>
      </c>
      <c r="B32" s="483" t="s">
        <v>694</v>
      </c>
      <c r="C32" s="448" t="s">
        <v>705</v>
      </c>
      <c r="D32" s="448"/>
      <c r="E32" s="448"/>
      <c r="F32" s="448"/>
      <c r="G32" s="448"/>
      <c r="H32" s="448"/>
      <c r="I32" s="448"/>
      <c r="J32" s="448"/>
      <c r="K32" s="448"/>
      <c r="L32" s="448"/>
      <c r="M32" s="448"/>
      <c r="N32" s="448"/>
      <c r="O32" s="448"/>
      <c r="P32" s="448"/>
      <c r="Q32" s="448"/>
    </row>
    <row r="33" spans="1:17" x14ac:dyDescent="0.25">
      <c r="A33" s="483"/>
      <c r="B33" s="483"/>
      <c r="C33" s="448">
        <v>2</v>
      </c>
      <c r="D33" s="448"/>
      <c r="E33" s="448"/>
      <c r="F33" s="448">
        <v>3</v>
      </c>
      <c r="G33" s="448"/>
      <c r="H33" s="448"/>
      <c r="I33" s="448">
        <v>4</v>
      </c>
      <c r="J33" s="448"/>
      <c r="K33" s="448"/>
      <c r="L33" s="448">
        <v>5</v>
      </c>
      <c r="M33" s="448"/>
      <c r="N33" s="448"/>
      <c r="O33" s="448">
        <v>6</v>
      </c>
      <c r="P33" s="448"/>
      <c r="Q33" s="448"/>
    </row>
    <row r="34" spans="1:17" ht="60" x14ac:dyDescent="0.25">
      <c r="A34" s="483"/>
      <c r="B34" s="483"/>
      <c r="C34" s="372" t="s">
        <v>695</v>
      </c>
      <c r="D34" s="372" t="s">
        <v>698</v>
      </c>
      <c r="E34" s="372" t="s">
        <v>699</v>
      </c>
      <c r="F34" s="372" t="s">
        <v>695</v>
      </c>
      <c r="G34" s="372" t="s">
        <v>698</v>
      </c>
      <c r="H34" s="372" t="s">
        <v>699</v>
      </c>
      <c r="I34" s="372" t="s">
        <v>695</v>
      </c>
      <c r="J34" s="372" t="s">
        <v>698</v>
      </c>
      <c r="K34" s="372" t="s">
        <v>699</v>
      </c>
      <c r="L34" s="372" t="s">
        <v>695</v>
      </c>
      <c r="M34" s="372" t="s">
        <v>698</v>
      </c>
      <c r="N34" s="372" t="s">
        <v>699</v>
      </c>
      <c r="O34" s="372" t="s">
        <v>695</v>
      </c>
      <c r="P34" s="372" t="s">
        <v>698</v>
      </c>
      <c r="Q34" s="372" t="s">
        <v>699</v>
      </c>
    </row>
    <row r="35" spans="1:17" x14ac:dyDescent="0.25">
      <c r="A35" s="369">
        <v>2011</v>
      </c>
      <c r="B35" s="377">
        <v>265455</v>
      </c>
      <c r="C35" s="377"/>
      <c r="D35" s="377"/>
      <c r="E35" s="377"/>
      <c r="F35" s="377"/>
      <c r="G35" s="377"/>
      <c r="H35" s="377"/>
      <c r="I35" s="377"/>
      <c r="J35" s="377"/>
      <c r="K35" s="377"/>
      <c r="L35" s="377"/>
      <c r="M35" s="377"/>
      <c r="N35" s="377"/>
      <c r="O35" s="377"/>
      <c r="P35" s="377"/>
      <c r="Q35" s="377"/>
    </row>
    <row r="36" spans="1:17" x14ac:dyDescent="0.25">
      <c r="A36" s="369">
        <v>2012</v>
      </c>
      <c r="B36" s="377">
        <v>270945</v>
      </c>
      <c r="C36" s="377"/>
      <c r="D36" s="377"/>
      <c r="E36" s="377"/>
      <c r="F36" s="377"/>
      <c r="G36" s="377"/>
      <c r="H36" s="377"/>
      <c r="I36" s="377"/>
      <c r="J36" s="377"/>
      <c r="K36" s="377"/>
      <c r="L36" s="377"/>
      <c r="M36" s="377"/>
      <c r="N36" s="377"/>
      <c r="O36" s="377"/>
      <c r="P36" s="377"/>
      <c r="Q36" s="377"/>
    </row>
    <row r="37" spans="1:17" x14ac:dyDescent="0.25">
      <c r="A37" s="369">
        <v>2013</v>
      </c>
      <c r="B37" s="377">
        <v>280350</v>
      </c>
      <c r="C37" s="377">
        <f>(B35+B36)/2</f>
        <v>268200</v>
      </c>
      <c r="D37" s="377">
        <f>C37-B37</f>
        <v>-12150</v>
      </c>
      <c r="E37" s="377">
        <f t="shared" ref="E37:E41" si="10">ABS(D37)</f>
        <v>12150</v>
      </c>
      <c r="F37" s="377"/>
      <c r="G37" s="377"/>
      <c r="H37" s="377"/>
      <c r="I37" s="377"/>
      <c r="J37" s="377"/>
      <c r="K37" s="377"/>
      <c r="L37" s="377"/>
      <c r="M37" s="377"/>
      <c r="N37" s="377"/>
      <c r="O37" s="377"/>
      <c r="P37" s="377"/>
      <c r="Q37" s="377"/>
    </row>
    <row r="38" spans="1:17" x14ac:dyDescent="0.25">
      <c r="A38" s="369">
        <v>2014</v>
      </c>
      <c r="B38" s="377">
        <v>289600</v>
      </c>
      <c r="C38" s="377">
        <f t="shared" ref="C38:C40" si="11">(B36+B37)/2</f>
        <v>275647.5</v>
      </c>
      <c r="D38" s="377">
        <f t="shared" ref="D38:D41" si="12">C38-B38</f>
        <v>-13952.5</v>
      </c>
      <c r="E38" s="377">
        <f t="shared" si="10"/>
        <v>13952.5</v>
      </c>
      <c r="F38" s="377">
        <f>(B35+2*B36+B37)/4</f>
        <v>271923.75</v>
      </c>
      <c r="G38" s="377">
        <f>F38-B38</f>
        <v>-17676.25</v>
      </c>
      <c r="H38" s="377">
        <f>ABS(G38)</f>
        <v>17676.25</v>
      </c>
      <c r="I38" s="377"/>
      <c r="J38" s="377"/>
      <c r="K38" s="377"/>
      <c r="L38" s="377"/>
      <c r="M38" s="377"/>
      <c r="N38" s="377"/>
      <c r="O38" s="377"/>
      <c r="P38" s="377"/>
      <c r="Q38" s="377"/>
    </row>
    <row r="39" spans="1:17" x14ac:dyDescent="0.25">
      <c r="A39" s="369">
        <v>2015</v>
      </c>
      <c r="B39" s="377">
        <v>299655</v>
      </c>
      <c r="C39" s="377">
        <f t="shared" si="11"/>
        <v>284975</v>
      </c>
      <c r="D39" s="377">
        <f t="shared" si="12"/>
        <v>-14680</v>
      </c>
      <c r="E39" s="377">
        <f t="shared" si="10"/>
        <v>14680</v>
      </c>
      <c r="F39" s="377">
        <f t="shared" ref="F39:F40" si="13">(B36+2*B37+B38)/4</f>
        <v>280311.25</v>
      </c>
      <c r="G39" s="377">
        <f t="shared" ref="G39:G41" si="14">F39-B39</f>
        <v>-19343.75</v>
      </c>
      <c r="H39" s="377">
        <f t="shared" ref="H39:H41" si="15">ABS(G39)</f>
        <v>19343.75</v>
      </c>
      <c r="I39" s="377">
        <f>(B35+3*B36+3*B37+B38)/8</f>
        <v>276117.5</v>
      </c>
      <c r="J39" s="377">
        <f>I39-B39</f>
        <v>-23537.5</v>
      </c>
      <c r="K39" s="377">
        <f>ABS(J39)</f>
        <v>23537.5</v>
      </c>
      <c r="L39" s="377"/>
      <c r="M39" s="377"/>
      <c r="N39" s="377"/>
      <c r="O39" s="377"/>
      <c r="P39" s="377"/>
      <c r="Q39" s="377"/>
    </row>
    <row r="40" spans="1:17" x14ac:dyDescent="0.25">
      <c r="A40" s="369">
        <v>2016</v>
      </c>
      <c r="B40" s="377">
        <v>407865</v>
      </c>
      <c r="C40" s="377">
        <f t="shared" si="11"/>
        <v>294627.5</v>
      </c>
      <c r="D40" s="377">
        <f t="shared" si="12"/>
        <v>-113237.5</v>
      </c>
      <c r="E40" s="377">
        <f t="shared" si="10"/>
        <v>113237.5</v>
      </c>
      <c r="F40" s="377">
        <f t="shared" si="13"/>
        <v>289801.25</v>
      </c>
      <c r="G40" s="377">
        <f t="shared" si="14"/>
        <v>-118063.75</v>
      </c>
      <c r="H40" s="377">
        <f t="shared" si="15"/>
        <v>118063.75</v>
      </c>
      <c r="I40" s="377">
        <f t="shared" ref="I40:I41" si="16">(B36+3*B37+3*B38+B39)/8</f>
        <v>285056.25</v>
      </c>
      <c r="J40" s="377">
        <f t="shared" ref="J40:J41" si="17">I40-B40</f>
        <v>-122808.75</v>
      </c>
      <c r="K40" s="377">
        <f t="shared" ref="K40:K41" si="18">ABS(J40)</f>
        <v>122808.75</v>
      </c>
      <c r="L40" s="377">
        <f>(B35+4*B36+6*B37+4*B38+B39)/16</f>
        <v>280586.875</v>
      </c>
      <c r="M40" s="377">
        <f>L40-B40</f>
        <v>-127278.125</v>
      </c>
      <c r="N40" s="377">
        <f>ABS(M40)</f>
        <v>127278.125</v>
      </c>
      <c r="O40" s="377"/>
      <c r="P40" s="377"/>
      <c r="Q40" s="377"/>
    </row>
    <row r="41" spans="1:17" ht="15.75" thickBot="1" x14ac:dyDescent="0.3">
      <c r="A41" s="184">
        <v>2017</v>
      </c>
      <c r="B41" s="381">
        <v>480908</v>
      </c>
      <c r="C41" s="381">
        <f>(B39+B40)/2</f>
        <v>353760</v>
      </c>
      <c r="D41" s="381">
        <f t="shared" si="12"/>
        <v>-127148</v>
      </c>
      <c r="E41" s="381">
        <f t="shared" si="10"/>
        <v>127148</v>
      </c>
      <c r="F41" s="381">
        <f>(B38+2*B39+B40)/4</f>
        <v>324193.75</v>
      </c>
      <c r="G41" s="381">
        <f t="shared" si="14"/>
        <v>-156714.25</v>
      </c>
      <c r="H41" s="381">
        <f t="shared" si="15"/>
        <v>156714.25</v>
      </c>
      <c r="I41" s="381">
        <f t="shared" si="16"/>
        <v>306997.5</v>
      </c>
      <c r="J41" s="381">
        <f t="shared" si="17"/>
        <v>-173910.5</v>
      </c>
      <c r="K41" s="381">
        <f t="shared" si="18"/>
        <v>173910.5</v>
      </c>
      <c r="L41" s="381">
        <f>(B36+4*B37+6*B38+4*B39+B40)/16</f>
        <v>296026.875</v>
      </c>
      <c r="M41" s="381">
        <f>L41-B41</f>
        <v>-184881.125</v>
      </c>
      <c r="N41" s="381">
        <f>ABS(M41)</f>
        <v>184881.125</v>
      </c>
      <c r="O41" s="381">
        <f>(B35+5*B36+10*B37+10*B38+5*B39+B40)/32</f>
        <v>288306.875</v>
      </c>
      <c r="P41" s="381">
        <f>O41-B41</f>
        <v>-192601.125</v>
      </c>
      <c r="Q41" s="381">
        <f>ABS(P41)</f>
        <v>192601.125</v>
      </c>
    </row>
    <row r="42" spans="1:17" ht="15.75" thickBot="1" x14ac:dyDescent="0.3">
      <c r="A42" s="397" t="s">
        <v>697</v>
      </c>
      <c r="B42" s="396"/>
      <c r="C42" s="382"/>
      <c r="D42" s="382"/>
      <c r="E42" s="383">
        <f>AVERAGE(E37:E41)</f>
        <v>56233.599999999999</v>
      </c>
      <c r="F42" s="382"/>
      <c r="G42" s="382"/>
      <c r="H42" s="383">
        <f>AVERAGE(H38:H41)</f>
        <v>77949.5</v>
      </c>
      <c r="I42" s="382"/>
      <c r="J42" s="382"/>
      <c r="K42" s="383">
        <f>AVERAGE(K39:K41)</f>
        <v>106752.25</v>
      </c>
      <c r="L42" s="382"/>
      <c r="M42" s="382"/>
      <c r="N42" s="383">
        <f>AVERAGE(N40:N41)</f>
        <v>156079.625</v>
      </c>
      <c r="O42" s="382"/>
      <c r="P42" s="382"/>
      <c r="Q42" s="384">
        <f>Q41</f>
        <v>192601.125</v>
      </c>
    </row>
    <row r="44" spans="1:17" x14ac:dyDescent="0.25">
      <c r="A44" s="362" t="s">
        <v>711</v>
      </c>
    </row>
    <row r="45" spans="1:17" ht="15.75" thickBot="1" x14ac:dyDescent="0.3"/>
    <row r="46" spans="1:17" ht="15" customHeight="1" x14ac:dyDescent="0.25">
      <c r="A46" s="490" t="s">
        <v>422</v>
      </c>
      <c r="B46" s="492" t="s">
        <v>694</v>
      </c>
      <c r="C46" s="467" t="s">
        <v>595</v>
      </c>
      <c r="D46" s="467"/>
      <c r="E46" s="467"/>
      <c r="F46" s="467"/>
      <c r="G46" s="467"/>
      <c r="H46" s="467"/>
      <c r="I46" s="467"/>
      <c r="J46" s="467"/>
      <c r="K46" s="467"/>
      <c r="L46" s="467"/>
      <c r="M46" s="467"/>
      <c r="N46" s="467"/>
      <c r="O46" s="467"/>
      <c r="P46" s="467"/>
      <c r="Q46" s="468"/>
    </row>
    <row r="47" spans="1:17" s="304" customFormat="1" ht="66.75" customHeight="1" thickBot="1" x14ac:dyDescent="0.3">
      <c r="A47" s="491"/>
      <c r="B47" s="493"/>
      <c r="C47" s="373" t="s">
        <v>706</v>
      </c>
      <c r="D47" s="373" t="s">
        <v>596</v>
      </c>
      <c r="E47" s="373" t="s">
        <v>597</v>
      </c>
      <c r="F47" s="373" t="s">
        <v>707</v>
      </c>
      <c r="G47" s="373" t="s">
        <v>596</v>
      </c>
      <c r="H47" s="373" t="s">
        <v>597</v>
      </c>
      <c r="I47" s="373" t="s">
        <v>708</v>
      </c>
      <c r="J47" s="373" t="s">
        <v>596</v>
      </c>
      <c r="K47" s="373" t="s">
        <v>597</v>
      </c>
      <c r="L47" s="373" t="s">
        <v>709</v>
      </c>
      <c r="M47" s="373" t="s">
        <v>596</v>
      </c>
      <c r="N47" s="373" t="s">
        <v>597</v>
      </c>
      <c r="O47" s="373" t="s">
        <v>710</v>
      </c>
      <c r="P47" s="373" t="s">
        <v>596</v>
      </c>
      <c r="Q47" s="401" t="s">
        <v>597</v>
      </c>
    </row>
    <row r="48" spans="1:17" x14ac:dyDescent="0.25">
      <c r="A48" s="160">
        <v>2011</v>
      </c>
      <c r="B48" s="403">
        <v>265455</v>
      </c>
      <c r="C48" s="398">
        <f>B48</f>
        <v>265455</v>
      </c>
      <c r="D48" s="399">
        <f>C48-B48</f>
        <v>0</v>
      </c>
      <c r="E48" s="399">
        <f>ABS(D48)</f>
        <v>0</v>
      </c>
      <c r="F48" s="399">
        <f>B48</f>
        <v>265455</v>
      </c>
      <c r="G48" s="399">
        <f>F48-B48</f>
        <v>0</v>
      </c>
      <c r="H48" s="399">
        <f>ABS(G48)</f>
        <v>0</v>
      </c>
      <c r="I48" s="399">
        <f>B48</f>
        <v>265455</v>
      </c>
      <c r="J48" s="399">
        <f>I48-B48</f>
        <v>0</v>
      </c>
      <c r="K48" s="399">
        <f>ABS(J48)</f>
        <v>0</v>
      </c>
      <c r="L48" s="400">
        <f>B48</f>
        <v>265455</v>
      </c>
      <c r="M48" s="399">
        <f>L48-B48</f>
        <v>0</v>
      </c>
      <c r="N48" s="399">
        <f>ABS(M48)</f>
        <v>0</v>
      </c>
      <c r="O48" s="399">
        <f>B48</f>
        <v>265455</v>
      </c>
      <c r="P48" s="399">
        <f>O48-B48</f>
        <v>0</v>
      </c>
      <c r="Q48" s="406">
        <f>ABS(P48)</f>
        <v>0</v>
      </c>
    </row>
    <row r="49" spans="1:17" x14ac:dyDescent="0.25">
      <c r="A49" s="161">
        <v>2012</v>
      </c>
      <c r="B49" s="404">
        <v>270945</v>
      </c>
      <c r="C49" s="377">
        <f>B48</f>
        <v>265455</v>
      </c>
      <c r="D49" s="387">
        <f t="shared" ref="D49:D54" si="19">C49-B49</f>
        <v>-5490</v>
      </c>
      <c r="E49" s="387">
        <f t="shared" ref="E49:E54" si="20">ABS(D49)</f>
        <v>5490</v>
      </c>
      <c r="F49" s="387">
        <f>B48</f>
        <v>265455</v>
      </c>
      <c r="G49" s="399">
        <f t="shared" ref="G49:G54" si="21">F49-B49</f>
        <v>-5490</v>
      </c>
      <c r="H49" s="399">
        <f t="shared" ref="H49:H54" si="22">ABS(G49)</f>
        <v>5490</v>
      </c>
      <c r="I49" s="387">
        <f>B48</f>
        <v>265455</v>
      </c>
      <c r="J49" s="399">
        <f t="shared" ref="J49:J54" si="23">I49-B49</f>
        <v>-5490</v>
      </c>
      <c r="K49" s="399">
        <f t="shared" ref="K49:K54" si="24">ABS(J49)</f>
        <v>5490</v>
      </c>
      <c r="L49" s="388">
        <f>B48</f>
        <v>265455</v>
      </c>
      <c r="M49" s="399">
        <f t="shared" ref="M49:M54" si="25">L49-B49</f>
        <v>-5490</v>
      </c>
      <c r="N49" s="399">
        <f t="shared" ref="N49:N54" si="26">ABS(M49)</f>
        <v>5490</v>
      </c>
      <c r="O49" s="387">
        <f>B48</f>
        <v>265455</v>
      </c>
      <c r="P49" s="399">
        <f t="shared" ref="P49:P54" si="27">O49-B49</f>
        <v>-5490</v>
      </c>
      <c r="Q49" s="406">
        <f t="shared" ref="Q49:Q54" si="28">ABS(P49)</f>
        <v>5490</v>
      </c>
    </row>
    <row r="50" spans="1:17" x14ac:dyDescent="0.25">
      <c r="A50" s="161">
        <v>2013</v>
      </c>
      <c r="B50" s="404">
        <v>280350</v>
      </c>
      <c r="C50" s="369">
        <f>(1-0.2)*B49+0.2*C49</f>
        <v>269847</v>
      </c>
      <c r="D50" s="387">
        <f t="shared" si="19"/>
        <v>-10503</v>
      </c>
      <c r="E50" s="387">
        <f t="shared" si="20"/>
        <v>10503</v>
      </c>
      <c r="F50" s="387">
        <f>(1-0.3)*B49+0.3*F49</f>
        <v>269298</v>
      </c>
      <c r="G50" s="399">
        <f t="shared" si="21"/>
        <v>-11052</v>
      </c>
      <c r="H50" s="399">
        <f t="shared" si="22"/>
        <v>11052</v>
      </c>
      <c r="I50" s="387">
        <f>(1-0.5)*B49+0.5*I49</f>
        <v>268200</v>
      </c>
      <c r="J50" s="399">
        <f t="shared" si="23"/>
        <v>-12150</v>
      </c>
      <c r="K50" s="399">
        <f t="shared" si="24"/>
        <v>12150</v>
      </c>
      <c r="L50" s="388">
        <f>(1-0.7)*B49+0.7*L49</f>
        <v>267102</v>
      </c>
      <c r="M50" s="399">
        <f t="shared" si="25"/>
        <v>-13248</v>
      </c>
      <c r="N50" s="399">
        <f t="shared" si="26"/>
        <v>13248</v>
      </c>
      <c r="O50" s="387">
        <f>(1-0.8)*B49+O49*0.8</f>
        <v>266553</v>
      </c>
      <c r="P50" s="399">
        <f t="shared" si="27"/>
        <v>-13797</v>
      </c>
      <c r="Q50" s="406">
        <f t="shared" si="28"/>
        <v>13797</v>
      </c>
    </row>
    <row r="51" spans="1:17" x14ac:dyDescent="0.25">
      <c r="A51" s="161">
        <v>2014</v>
      </c>
      <c r="B51" s="404">
        <v>289600</v>
      </c>
      <c r="C51" s="369">
        <f t="shared" ref="C51:C54" si="29">(1-0.2)*B50+0.2*C50</f>
        <v>278249.40000000002</v>
      </c>
      <c r="D51" s="387">
        <f t="shared" si="19"/>
        <v>-11350.599999999977</v>
      </c>
      <c r="E51" s="387">
        <f t="shared" si="20"/>
        <v>11350.599999999977</v>
      </c>
      <c r="F51" s="387">
        <f t="shared" ref="F51:F53" si="30">(1-0.3)*B50+0.3*F50</f>
        <v>277034.40000000002</v>
      </c>
      <c r="G51" s="399">
        <f t="shared" si="21"/>
        <v>-12565.599999999977</v>
      </c>
      <c r="H51" s="399">
        <f t="shared" si="22"/>
        <v>12565.599999999977</v>
      </c>
      <c r="I51" s="387">
        <f t="shared" ref="I51:I54" si="31">(1-0.5)*B50+0.5*I50</f>
        <v>274275</v>
      </c>
      <c r="J51" s="399">
        <f t="shared" si="23"/>
        <v>-15325</v>
      </c>
      <c r="K51" s="399">
        <f t="shared" si="24"/>
        <v>15325</v>
      </c>
      <c r="L51" s="388">
        <f>(1-0.7)*B50+0.7*L50</f>
        <v>271076.40000000002</v>
      </c>
      <c r="M51" s="399">
        <f t="shared" si="25"/>
        <v>-18523.599999999977</v>
      </c>
      <c r="N51" s="399">
        <f t="shared" si="26"/>
        <v>18523.599999999977</v>
      </c>
      <c r="O51" s="387">
        <f t="shared" ref="O51:O54" si="32">(1-0.8)*B50+O50*0.8</f>
        <v>269312.40000000002</v>
      </c>
      <c r="P51" s="399">
        <f t="shared" si="27"/>
        <v>-20287.599999999977</v>
      </c>
      <c r="Q51" s="406">
        <f t="shared" si="28"/>
        <v>20287.599999999977</v>
      </c>
    </row>
    <row r="52" spans="1:17" x14ac:dyDescent="0.25">
      <c r="A52" s="161">
        <v>2015</v>
      </c>
      <c r="B52" s="404">
        <v>299655</v>
      </c>
      <c r="C52" s="369">
        <f t="shared" si="29"/>
        <v>287329.88</v>
      </c>
      <c r="D52" s="387">
        <f t="shared" si="19"/>
        <v>-12325.119999999995</v>
      </c>
      <c r="E52" s="387">
        <f t="shared" si="20"/>
        <v>12325.119999999995</v>
      </c>
      <c r="F52" s="387">
        <f t="shared" si="30"/>
        <v>285830.32</v>
      </c>
      <c r="G52" s="399">
        <f t="shared" si="21"/>
        <v>-13824.679999999993</v>
      </c>
      <c r="H52" s="399">
        <f t="shared" si="22"/>
        <v>13824.679999999993</v>
      </c>
      <c r="I52" s="387">
        <f t="shared" si="31"/>
        <v>281937.5</v>
      </c>
      <c r="J52" s="399">
        <f t="shared" si="23"/>
        <v>-17717.5</v>
      </c>
      <c r="K52" s="399">
        <f t="shared" si="24"/>
        <v>17717.5</v>
      </c>
      <c r="L52" s="388">
        <f t="shared" ref="L52:L54" si="33">(1-0.7)*B51+0.7*L51</f>
        <v>276633.48000000004</v>
      </c>
      <c r="M52" s="399">
        <f t="shared" si="25"/>
        <v>-23021.51999999996</v>
      </c>
      <c r="N52" s="399">
        <f t="shared" si="26"/>
        <v>23021.51999999996</v>
      </c>
      <c r="O52" s="387">
        <f t="shared" si="32"/>
        <v>273369.92000000004</v>
      </c>
      <c r="P52" s="399">
        <f t="shared" si="27"/>
        <v>-26285.079999999958</v>
      </c>
      <c r="Q52" s="406">
        <f t="shared" si="28"/>
        <v>26285.079999999958</v>
      </c>
    </row>
    <row r="53" spans="1:17" x14ac:dyDescent="0.25">
      <c r="A53" s="161">
        <v>2016</v>
      </c>
      <c r="B53" s="404">
        <v>407865</v>
      </c>
      <c r="C53" s="369">
        <f t="shared" si="29"/>
        <v>297189.97600000002</v>
      </c>
      <c r="D53" s="387">
        <f t="shared" si="19"/>
        <v>-110675.02399999998</v>
      </c>
      <c r="E53" s="387">
        <f t="shared" si="20"/>
        <v>110675.02399999998</v>
      </c>
      <c r="F53" s="387">
        <f t="shared" si="30"/>
        <v>295507.59600000002</v>
      </c>
      <c r="G53" s="399">
        <f t="shared" si="21"/>
        <v>-112357.40399999998</v>
      </c>
      <c r="H53" s="399">
        <f t="shared" si="22"/>
        <v>112357.40399999998</v>
      </c>
      <c r="I53" s="387">
        <f t="shared" si="31"/>
        <v>290796.25</v>
      </c>
      <c r="J53" s="399">
        <f t="shared" si="23"/>
        <v>-117068.75</v>
      </c>
      <c r="K53" s="399">
        <f t="shared" si="24"/>
        <v>117068.75</v>
      </c>
      <c r="L53" s="388">
        <f t="shared" si="33"/>
        <v>283539.93600000005</v>
      </c>
      <c r="M53" s="399">
        <f t="shared" si="25"/>
        <v>-124325.06399999995</v>
      </c>
      <c r="N53" s="399">
        <f t="shared" si="26"/>
        <v>124325.06399999995</v>
      </c>
      <c r="O53" s="387">
        <f t="shared" si="32"/>
        <v>278626.93600000005</v>
      </c>
      <c r="P53" s="399">
        <f t="shared" si="27"/>
        <v>-129238.06399999995</v>
      </c>
      <c r="Q53" s="406">
        <f t="shared" si="28"/>
        <v>129238.06399999995</v>
      </c>
    </row>
    <row r="54" spans="1:17" ht="15.75" thickBot="1" x14ac:dyDescent="0.3">
      <c r="A54" s="162">
        <v>2017</v>
      </c>
      <c r="B54" s="405">
        <v>480908</v>
      </c>
      <c r="C54" s="184">
        <f t="shared" si="29"/>
        <v>385729.9952</v>
      </c>
      <c r="D54" s="389">
        <f t="shared" si="19"/>
        <v>-95178.004799999995</v>
      </c>
      <c r="E54" s="389">
        <f t="shared" si="20"/>
        <v>95178.004799999995</v>
      </c>
      <c r="F54" s="389">
        <f>(1-0.3)*B53+0.3*F53</f>
        <v>374157.77879999997</v>
      </c>
      <c r="G54" s="399">
        <f t="shared" si="21"/>
        <v>-106750.22120000003</v>
      </c>
      <c r="H54" s="399">
        <f t="shared" si="22"/>
        <v>106750.22120000003</v>
      </c>
      <c r="I54" s="389">
        <f t="shared" si="31"/>
        <v>349330.625</v>
      </c>
      <c r="J54" s="399">
        <f t="shared" si="23"/>
        <v>-131577.375</v>
      </c>
      <c r="K54" s="399">
        <f t="shared" si="24"/>
        <v>131577.375</v>
      </c>
      <c r="L54" s="390">
        <f t="shared" si="33"/>
        <v>320837.45520000003</v>
      </c>
      <c r="M54" s="399">
        <f t="shared" si="25"/>
        <v>-160070.54479999997</v>
      </c>
      <c r="N54" s="399">
        <f t="shared" si="26"/>
        <v>160070.54479999997</v>
      </c>
      <c r="O54" s="389">
        <f t="shared" si="32"/>
        <v>304474.54880000005</v>
      </c>
      <c r="P54" s="399">
        <f t="shared" si="27"/>
        <v>-176433.45119999995</v>
      </c>
      <c r="Q54" s="406">
        <f t="shared" si="28"/>
        <v>176433.45119999995</v>
      </c>
    </row>
    <row r="55" spans="1:17" s="141" customFormat="1" ht="15.75" thickBot="1" x14ac:dyDescent="0.3">
      <c r="A55" s="395" t="s">
        <v>697</v>
      </c>
      <c r="B55" s="394"/>
      <c r="C55" s="391"/>
      <c r="D55" s="391"/>
      <c r="E55" s="392">
        <f>AVERAGE(E48:E54)</f>
        <v>35074.535542857135</v>
      </c>
      <c r="F55" s="393"/>
      <c r="G55" s="383"/>
      <c r="H55" s="383">
        <f>AVERAGE(H48:H54)</f>
        <v>37434.272171428565</v>
      </c>
      <c r="I55" s="393"/>
      <c r="J55" s="383"/>
      <c r="K55" s="383">
        <f>AVERAGE(K48:K54)</f>
        <v>42761.232142857145</v>
      </c>
      <c r="L55" s="393"/>
      <c r="M55" s="383"/>
      <c r="N55" s="383">
        <f>AVERAGE(N48:N54)</f>
        <v>49239.818399999982</v>
      </c>
      <c r="O55" s="393"/>
      <c r="P55" s="383"/>
      <c r="Q55" s="384">
        <f>AVERAGE(Q48:Q54)</f>
        <v>53075.885028571407</v>
      </c>
    </row>
    <row r="57" spans="1:17" x14ac:dyDescent="0.25">
      <c r="A57" s="141" t="s">
        <v>701</v>
      </c>
      <c r="C57" s="407">
        <f>B54*(1-0.2)+C54*0.2</f>
        <v>461872.39904000005</v>
      </c>
      <c r="D57" s="141" t="s">
        <v>692</v>
      </c>
    </row>
    <row r="59" spans="1:17" x14ac:dyDescent="0.25">
      <c r="A59" s="362" t="s">
        <v>712</v>
      </c>
    </row>
    <row r="60" spans="1:17" ht="15.75" thickBot="1" x14ac:dyDescent="0.3"/>
    <row r="61" spans="1:17" s="309" customFormat="1" ht="45.75" thickBot="1" x14ac:dyDescent="0.3">
      <c r="A61" s="414" t="s">
        <v>422</v>
      </c>
      <c r="B61" s="413" t="s">
        <v>428</v>
      </c>
      <c r="C61" s="412" t="s">
        <v>694</v>
      </c>
    </row>
    <row r="62" spans="1:17" x14ac:dyDescent="0.25">
      <c r="A62" s="160">
        <v>2011</v>
      </c>
      <c r="B62" s="156">
        <v>1</v>
      </c>
      <c r="C62" s="411">
        <v>265455</v>
      </c>
    </row>
    <row r="63" spans="1:17" x14ac:dyDescent="0.25">
      <c r="A63" s="161">
        <v>2012</v>
      </c>
      <c r="B63" s="370">
        <v>2</v>
      </c>
      <c r="C63" s="409">
        <v>270945</v>
      </c>
    </row>
    <row r="64" spans="1:17" x14ac:dyDescent="0.25">
      <c r="A64" s="161">
        <v>2013</v>
      </c>
      <c r="B64" s="370">
        <v>3</v>
      </c>
      <c r="C64" s="409">
        <v>280350</v>
      </c>
    </row>
    <row r="65" spans="1:3" x14ac:dyDescent="0.25">
      <c r="A65" s="161">
        <v>2014</v>
      </c>
      <c r="B65" s="370">
        <v>4</v>
      </c>
      <c r="C65" s="409">
        <v>289600</v>
      </c>
    </row>
    <row r="66" spans="1:3" x14ac:dyDescent="0.25">
      <c r="A66" s="161">
        <v>2015</v>
      </c>
      <c r="B66" s="370">
        <v>5</v>
      </c>
      <c r="C66" s="409">
        <v>299655</v>
      </c>
    </row>
    <row r="67" spans="1:3" x14ac:dyDescent="0.25">
      <c r="A67" s="161">
        <v>2016</v>
      </c>
      <c r="B67" s="370">
        <v>6</v>
      </c>
      <c r="C67" s="409">
        <v>407865</v>
      </c>
    </row>
    <row r="68" spans="1:3" ht="15.75" thickBot="1" x14ac:dyDescent="0.3">
      <c r="A68" s="162">
        <v>2017</v>
      </c>
      <c r="B68" s="158">
        <v>7</v>
      </c>
      <c r="C68" s="410">
        <v>480908</v>
      </c>
    </row>
    <row r="69" spans="1:3" ht="108.75" customHeight="1" x14ac:dyDescent="0.25">
      <c r="A69" s="371" t="s">
        <v>713</v>
      </c>
      <c r="B69" s="140">
        <v>8</v>
      </c>
      <c r="C69" s="141">
        <f>9921.4*B69*B69-45818*B69+312668</f>
        <v>581093.6</v>
      </c>
    </row>
    <row r="90" spans="1:5" x14ac:dyDescent="0.25">
      <c r="A90" s="141" t="s">
        <v>725</v>
      </c>
    </row>
    <row r="91" spans="1:5" ht="15.75" thickBot="1" x14ac:dyDescent="0.3"/>
    <row r="92" spans="1:5" s="304" customFormat="1" ht="75.75" thickBot="1" x14ac:dyDescent="0.3">
      <c r="A92" s="497" t="s">
        <v>714</v>
      </c>
      <c r="B92" s="496" t="s">
        <v>715</v>
      </c>
      <c r="C92" s="494" t="s">
        <v>716</v>
      </c>
      <c r="D92" s="494" t="s">
        <v>717</v>
      </c>
      <c r="E92" s="495" t="s">
        <v>718</v>
      </c>
    </row>
    <row r="93" spans="1:5" ht="90" x14ac:dyDescent="0.25">
      <c r="A93" s="502" t="s">
        <v>719</v>
      </c>
      <c r="B93" s="498">
        <f>C12</f>
        <v>516816.83333333331</v>
      </c>
      <c r="C93" s="179">
        <v>0.3</v>
      </c>
      <c r="D93" s="505" t="s">
        <v>724</v>
      </c>
      <c r="E93" s="180"/>
    </row>
    <row r="94" spans="1:5" ht="210" x14ac:dyDescent="0.25">
      <c r="A94" s="503" t="s">
        <v>720</v>
      </c>
      <c r="B94" s="499">
        <f>C28</f>
        <v>444386.5</v>
      </c>
      <c r="C94" s="374">
        <v>0.1</v>
      </c>
      <c r="D94" s="506" t="s">
        <v>726</v>
      </c>
      <c r="E94" s="508" t="s">
        <v>727</v>
      </c>
    </row>
    <row r="95" spans="1:5" ht="210" x14ac:dyDescent="0.25">
      <c r="A95" s="503" t="s">
        <v>721</v>
      </c>
      <c r="B95" s="499">
        <f>C28</f>
        <v>444386.5</v>
      </c>
      <c r="C95" s="374">
        <v>0.1</v>
      </c>
      <c r="D95" s="506" t="s">
        <v>726</v>
      </c>
      <c r="E95" s="508" t="s">
        <v>727</v>
      </c>
    </row>
    <row r="96" spans="1:5" ht="120" x14ac:dyDescent="0.25">
      <c r="A96" s="503" t="s">
        <v>722</v>
      </c>
      <c r="B96" s="501">
        <f>C57</f>
        <v>461872.39904000005</v>
      </c>
      <c r="C96" s="374">
        <v>0.2</v>
      </c>
      <c r="D96" s="233" t="s">
        <v>728</v>
      </c>
      <c r="E96" s="500" t="s">
        <v>729</v>
      </c>
    </row>
    <row r="97" spans="1:5" ht="90.75" thickBot="1" x14ac:dyDescent="0.3">
      <c r="A97" s="504" t="s">
        <v>723</v>
      </c>
      <c r="B97" s="402">
        <f>C69</f>
        <v>581093.6</v>
      </c>
      <c r="C97" s="375">
        <v>0.3</v>
      </c>
      <c r="D97" s="507" t="s">
        <v>730</v>
      </c>
      <c r="E97" s="401"/>
    </row>
    <row r="99" spans="1:5" ht="30" x14ac:dyDescent="0.25">
      <c r="A99" s="509" t="s">
        <v>731</v>
      </c>
      <c r="B99" s="376">
        <f>SUMPRODUCT(B93:B97,C93:C97)</f>
        <v>510624.90980799997</v>
      </c>
      <c r="C99" s="141" t="s">
        <v>692</v>
      </c>
    </row>
  </sheetData>
  <mergeCells count="19">
    <mergeCell ref="I17:K17"/>
    <mergeCell ref="L17:N17"/>
    <mergeCell ref="O17:Q17"/>
    <mergeCell ref="C16:Q16"/>
    <mergeCell ref="A32:A34"/>
    <mergeCell ref="B32:B34"/>
    <mergeCell ref="C32:Q32"/>
    <mergeCell ref="C33:E33"/>
    <mergeCell ref="F33:H33"/>
    <mergeCell ref="A16:A18"/>
    <mergeCell ref="B16:B18"/>
    <mergeCell ref="C17:E17"/>
    <mergeCell ref="F17:H17"/>
    <mergeCell ref="I33:K33"/>
    <mergeCell ref="L33:N33"/>
    <mergeCell ref="O33:Q33"/>
    <mergeCell ref="C46:Q46"/>
    <mergeCell ref="A46:A47"/>
    <mergeCell ref="B46:B47"/>
  </mergeCells>
  <pageMargins left="0.7" right="0.7" top="0.75" bottom="0.75" header="0.3" footer="0.3"/>
  <pageSetup paperSize="9" orientation="portrait" verticalDpi="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opLeftCell="A7" workbookViewId="0">
      <selection activeCell="A2" sqref="A2:H10"/>
    </sheetView>
  </sheetViews>
  <sheetFormatPr defaultRowHeight="15" x14ac:dyDescent="0.25"/>
  <cols>
    <col min="1" max="1" width="28.85546875" customWidth="1"/>
    <col min="2" max="2" width="17.28515625" customWidth="1"/>
    <col min="3" max="3" width="16.140625" customWidth="1"/>
    <col min="4" max="4" width="19" customWidth="1"/>
    <col min="8" max="8" width="16.28515625" customWidth="1"/>
  </cols>
  <sheetData>
    <row r="1" spans="1:14" ht="15.75" thickBot="1" x14ac:dyDescent="0.3"/>
    <row r="2" spans="1:14" s="115" customFormat="1" ht="60" customHeight="1" x14ac:dyDescent="0.25">
      <c r="A2" s="521" t="s">
        <v>732</v>
      </c>
      <c r="B2" s="513" t="s">
        <v>738</v>
      </c>
      <c r="C2" s="514"/>
      <c r="D2" s="515"/>
      <c r="E2" s="513" t="s">
        <v>745</v>
      </c>
      <c r="F2" s="514"/>
      <c r="G2" s="515"/>
      <c r="H2" s="521" t="s">
        <v>746</v>
      </c>
      <c r="J2" s="115">
        <v>1</v>
      </c>
      <c r="K2" s="115">
        <v>0</v>
      </c>
    </row>
    <row r="3" spans="1:14" s="115" customFormat="1" ht="75.75" thickBot="1" x14ac:dyDescent="0.3">
      <c r="A3" s="522"/>
      <c r="B3" s="526" t="s">
        <v>740</v>
      </c>
      <c r="C3" s="520" t="s">
        <v>741</v>
      </c>
      <c r="D3" s="527" t="s">
        <v>739</v>
      </c>
      <c r="E3" s="526" t="s">
        <v>742</v>
      </c>
      <c r="F3" s="520" t="s">
        <v>743</v>
      </c>
      <c r="G3" s="527" t="s">
        <v>744</v>
      </c>
      <c r="H3" s="522"/>
      <c r="J3" s="115">
        <v>1</v>
      </c>
      <c r="K3" s="115">
        <v>50</v>
      </c>
      <c r="M3" s="115">
        <v>0.5</v>
      </c>
      <c r="N3" s="115">
        <v>100</v>
      </c>
    </row>
    <row r="4" spans="1:14" ht="18.75" x14ac:dyDescent="0.3">
      <c r="A4" s="523" t="s">
        <v>733</v>
      </c>
      <c r="B4" s="528">
        <v>19</v>
      </c>
      <c r="C4" s="518">
        <v>29.7</v>
      </c>
      <c r="D4" s="529">
        <f>B4/C4</f>
        <v>0.63973063973063971</v>
      </c>
      <c r="E4" s="534">
        <v>50815</v>
      </c>
      <c r="F4" s="519">
        <v>61271</v>
      </c>
      <c r="G4" s="535">
        <v>67766</v>
      </c>
      <c r="H4" s="540">
        <f>SQRT(G4/E4)*100</f>
        <v>115.48084705101277</v>
      </c>
      <c r="I4" s="542">
        <v>100</v>
      </c>
      <c r="J4" s="542">
        <v>1</v>
      </c>
      <c r="K4">
        <v>115.48084705101277</v>
      </c>
      <c r="M4" s="510">
        <v>0.63973063973063971</v>
      </c>
      <c r="N4" s="117">
        <v>100</v>
      </c>
    </row>
    <row r="5" spans="1:14" ht="37.5" x14ac:dyDescent="0.3">
      <c r="A5" s="524" t="s">
        <v>748</v>
      </c>
      <c r="B5" s="530">
        <v>28.5</v>
      </c>
      <c r="C5" s="511">
        <v>22.2</v>
      </c>
      <c r="D5" s="531">
        <f t="shared" ref="D5:D10" si="0">B5/C5</f>
        <v>1.2837837837837838</v>
      </c>
      <c r="E5" s="536">
        <v>26963</v>
      </c>
      <c r="F5" s="512">
        <v>28248</v>
      </c>
      <c r="G5" s="537">
        <v>30726</v>
      </c>
      <c r="H5" s="540">
        <f t="shared" ref="H5:H10" si="1">SQRT(G5/E5)*100</f>
        <v>106.75025159133298</v>
      </c>
      <c r="I5" s="542">
        <v>100</v>
      </c>
      <c r="J5" s="542">
        <v>1</v>
      </c>
      <c r="K5">
        <v>106.75025159133298</v>
      </c>
      <c r="M5" s="510">
        <v>1.2837837837837838</v>
      </c>
      <c r="N5" s="117">
        <v>100</v>
      </c>
    </row>
    <row r="6" spans="1:14" ht="37.5" x14ac:dyDescent="0.3">
      <c r="A6" s="524" t="s">
        <v>747</v>
      </c>
      <c r="B6" s="530">
        <v>16.899999999999999</v>
      </c>
      <c r="C6" s="511">
        <v>16.899999999999999</v>
      </c>
      <c r="D6" s="531">
        <f t="shared" si="0"/>
        <v>1</v>
      </c>
      <c r="E6" s="536">
        <v>40444</v>
      </c>
      <c r="F6" s="512">
        <v>49335</v>
      </c>
      <c r="G6" s="537">
        <v>49667</v>
      </c>
      <c r="H6" s="540">
        <f t="shared" si="1"/>
        <v>110.81713381811029</v>
      </c>
      <c r="I6" s="542">
        <v>100</v>
      </c>
      <c r="J6" s="542">
        <v>1</v>
      </c>
      <c r="K6">
        <v>110.81713381811029</v>
      </c>
      <c r="M6" s="510">
        <v>1</v>
      </c>
      <c r="N6" s="115">
        <v>100</v>
      </c>
    </row>
    <row r="7" spans="1:14" ht="18.75" x14ac:dyDescent="0.3">
      <c r="A7" s="524" t="s">
        <v>734</v>
      </c>
      <c r="B7" s="530">
        <v>10.8</v>
      </c>
      <c r="C7" s="511">
        <v>14.1</v>
      </c>
      <c r="D7" s="531">
        <f t="shared" si="0"/>
        <v>0.76595744680851074</v>
      </c>
      <c r="E7" s="536">
        <v>36988</v>
      </c>
      <c r="F7" s="512">
        <v>50927</v>
      </c>
      <c r="G7" s="537">
        <v>55560</v>
      </c>
      <c r="H7" s="540">
        <f t="shared" si="1"/>
        <v>122.56054797693514</v>
      </c>
      <c r="I7" s="542">
        <v>100</v>
      </c>
      <c r="J7" s="542">
        <v>1</v>
      </c>
      <c r="K7">
        <v>122.56054797693514</v>
      </c>
      <c r="M7" s="510">
        <v>0.76595744680851074</v>
      </c>
      <c r="N7" s="117">
        <v>100</v>
      </c>
    </row>
    <row r="8" spans="1:14" ht="18.75" x14ac:dyDescent="0.3">
      <c r="A8" s="524" t="s">
        <v>735</v>
      </c>
      <c r="B8" s="530">
        <v>16.899999999999999</v>
      </c>
      <c r="C8" s="511">
        <v>8.1999999999999993</v>
      </c>
      <c r="D8" s="531">
        <f t="shared" si="0"/>
        <v>2.0609756097560976</v>
      </c>
      <c r="E8" s="536">
        <v>72938</v>
      </c>
      <c r="F8" s="512">
        <v>87132</v>
      </c>
      <c r="G8" s="537">
        <v>82919</v>
      </c>
      <c r="H8" s="540">
        <f t="shared" si="1"/>
        <v>106.62280476435784</v>
      </c>
      <c r="I8" s="542">
        <v>100</v>
      </c>
      <c r="J8" s="542">
        <v>1</v>
      </c>
      <c r="K8">
        <v>106.62280476435784</v>
      </c>
      <c r="M8" s="510">
        <v>2.0609756097560976</v>
      </c>
      <c r="N8" s="117">
        <v>100</v>
      </c>
    </row>
    <row r="9" spans="1:14" ht="18.75" x14ac:dyDescent="0.3">
      <c r="A9" s="524" t="s">
        <v>736</v>
      </c>
      <c r="B9" s="530">
        <v>2.4</v>
      </c>
      <c r="C9" s="511">
        <v>2.8</v>
      </c>
      <c r="D9" s="531">
        <f t="shared" si="0"/>
        <v>0.85714285714285721</v>
      </c>
      <c r="E9" s="536">
        <v>61876</v>
      </c>
      <c r="F9" s="512">
        <v>68433</v>
      </c>
      <c r="G9" s="537">
        <v>76184</v>
      </c>
      <c r="H9" s="540">
        <f t="shared" si="1"/>
        <v>110.96110430606537</v>
      </c>
      <c r="I9" s="542">
        <v>100</v>
      </c>
      <c r="J9" s="542">
        <v>1</v>
      </c>
      <c r="K9">
        <v>110.96110430606537</v>
      </c>
      <c r="M9" s="510">
        <v>0.85714285714285721</v>
      </c>
      <c r="N9" s="115">
        <v>100</v>
      </c>
    </row>
    <row r="10" spans="1:14" ht="19.5" thickBot="1" x14ac:dyDescent="0.35">
      <c r="A10" s="525" t="s">
        <v>737</v>
      </c>
      <c r="B10" s="532">
        <v>2.1</v>
      </c>
      <c r="C10" s="516">
        <v>1.3</v>
      </c>
      <c r="D10" s="533">
        <f t="shared" si="0"/>
        <v>1.6153846153846154</v>
      </c>
      <c r="E10" s="538">
        <v>45975</v>
      </c>
      <c r="F10" s="517">
        <v>44163</v>
      </c>
      <c r="G10" s="539">
        <v>45930</v>
      </c>
      <c r="H10" s="541">
        <f t="shared" si="1"/>
        <v>99.951048377584016</v>
      </c>
      <c r="I10" s="542">
        <v>100</v>
      </c>
      <c r="J10" s="542">
        <v>1</v>
      </c>
      <c r="K10">
        <v>99.951048377584016</v>
      </c>
      <c r="M10" s="510">
        <v>1.6153846153846154</v>
      </c>
      <c r="N10" s="117">
        <v>100</v>
      </c>
    </row>
  </sheetData>
  <mergeCells count="4">
    <mergeCell ref="B2:D2"/>
    <mergeCell ref="A2:A3"/>
    <mergeCell ref="E2:G2"/>
    <mergeCell ref="H2:H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4</vt:i4>
      </vt:variant>
    </vt:vector>
  </HeadingPairs>
  <TitlesOfParts>
    <vt:vector size="18" baseType="lpstr">
      <vt:lpstr>Тема 3</vt:lpstr>
      <vt:lpstr>тема 1 </vt:lpstr>
      <vt:lpstr>Тема 2</vt:lpstr>
      <vt:lpstr>Литература</vt:lpstr>
      <vt:lpstr>Тема 4</vt:lpstr>
      <vt:lpstr>Тема 5</vt:lpstr>
      <vt:lpstr>Теоретические вопросы</vt:lpstr>
      <vt:lpstr>Тема 7</vt:lpstr>
      <vt:lpstr>Тема 6</vt:lpstr>
      <vt:lpstr>Тема 8</vt:lpstr>
      <vt:lpstr>Тема 9</vt:lpstr>
      <vt:lpstr>Тема 10</vt:lpstr>
      <vt:lpstr>прогноз объема реализ</vt:lpstr>
      <vt:lpstr>продукт стратегия</vt:lpstr>
      <vt:lpstr>'тема 1 '!_Hlk281999883</vt:lpstr>
      <vt:lpstr>Литература!Область_печати</vt:lpstr>
      <vt:lpstr>'тема 1 '!Область_печати</vt:lpstr>
      <vt:lpstr>'Тема 7'!Область_печати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Alexey</dc:creator>
  <cp:lastModifiedBy>Alexey</cp:lastModifiedBy>
  <cp:lastPrinted>2017-12-09T02:43:45Z</cp:lastPrinted>
  <dcterms:created xsi:type="dcterms:W3CDTF">2017-08-16T20:11:11Z</dcterms:created>
  <dcterms:modified xsi:type="dcterms:W3CDTF">2018-05-26T12:04:51Z</dcterms:modified>
</cp:coreProperties>
</file>